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onster TCA\Downloads\"/>
    </mc:Choice>
  </mc:AlternateContent>
  <xr:revisionPtr revIDLastSave="0" documentId="8_{5C20C2B6-4B14-44DF-B43F-49C8000007D8}" xr6:coauthVersionLast="47" xr6:coauthVersionMax="47" xr10:uidLastSave="{00000000-0000-0000-0000-000000000000}"/>
  <bookViews>
    <workbookView xWindow="-108" yWindow="-108" windowWidth="23256" windowHeight="12456" activeTab="5" xr2:uid="{3AE33DB3-BFAE-4945-A9B7-8BCC0DA0E5B4}"/>
  </bookViews>
  <sheets>
    <sheet name="LITE" sheetId="6" state="hidden" r:id="rId1"/>
    <sheet name="TACT" sheetId="7" state="hidden" r:id="rId2"/>
    <sheet name="TEST DAY" sheetId="1" state="hidden" r:id="rId3"/>
    <sheet name="Texas Independence" sheetId="9" r:id="rId4"/>
    <sheet name="Lonestar Heroes Event" sheetId="5" state="hidden" r:id="rId5"/>
    <sheet name="Light Solo" sheetId="13" r:id="rId6"/>
    <sheet name="Light Pair" sheetId="14" r:id="rId7"/>
    <sheet name="Tactical Solo" sheetId="15" r:id="rId8"/>
    <sheet name="Tactical Pair" sheetId="16" r:id="rId9"/>
    <sheet name="Fireteam Challenge" sheetId="22" r:id="rId10"/>
    <sheet name="Light Fighter" sheetId="2" state="hidden" r:id="rId11"/>
    <sheet name="Tactical" sheetId="3" state="hidden" r:id="rId12"/>
    <sheet name="GRUNT Real" sheetId="8" state="hidden" r:id="rId13"/>
    <sheet name="Grunt" sheetId="4" state="hidden" r:id="rId14"/>
  </sheets>
  <definedNames>
    <definedName name="_xlnm._FilterDatabase" localSheetId="9" hidden="1">'Fireteam Challenge'!$A$1:$AN$1</definedName>
    <definedName name="_xlnm._FilterDatabase" localSheetId="12" hidden="1">'GRUNT Real'!$A$1:$AJ$79</definedName>
    <definedName name="_xlnm._FilterDatabase" localSheetId="6" hidden="1">'Light Pair'!$A$1:$AN$1</definedName>
    <definedName name="_xlnm._FilterDatabase" localSheetId="5" hidden="1">'Light Solo'!$A$1:$AN$8</definedName>
    <definedName name="_xlnm._FilterDatabase" localSheetId="0" hidden="1">LITE!$A$1:$AJ$77</definedName>
    <definedName name="_xlnm._FilterDatabase" localSheetId="4" hidden="1">'Lonestar Heroes Event'!$A$1:$AJ$70</definedName>
    <definedName name="_xlnm._FilterDatabase" localSheetId="1" hidden="1">TACT!$A$1:$AJ$18</definedName>
    <definedName name="_xlnm._FilterDatabase" localSheetId="8" hidden="1">'Tactical Pair'!$A$1:$AN$1</definedName>
    <definedName name="_xlnm._FilterDatabase" localSheetId="7" hidden="1">'Tactical Solo'!$A$1:$AN$1</definedName>
    <definedName name="_xlnm._FilterDatabase" localSheetId="2" hidden="1">'TEST DAY'!$A$1:$AJ$121</definedName>
    <definedName name="_xlnm._FilterDatabase" localSheetId="3" hidden="1">'Texas Independence'!$A$1:$AN$14</definedName>
    <definedName name="_xlnm.Print_Area" localSheetId="9">'Fireteam Challenge'!$A$1:$AN$3</definedName>
    <definedName name="_xlnm.Print_Area" localSheetId="12">'GRUNT Real'!$A$1:$AJ$79</definedName>
    <definedName name="_xlnm.Print_Area" localSheetId="6">'Light Pair'!$A$1:$AN$7</definedName>
    <definedName name="_xlnm.Print_Area" localSheetId="5">'Light Solo'!$A$1:$AN$10</definedName>
    <definedName name="_xlnm.Print_Area" localSheetId="0">LITE!$A$1:$AJ$77</definedName>
    <definedName name="_xlnm.Print_Area" localSheetId="4">'Lonestar Heroes Event'!$A$1:$AJ$70</definedName>
    <definedName name="_xlnm.Print_Area" localSheetId="1">TACT!$A$1:$AJ$18</definedName>
    <definedName name="_xlnm.Print_Area" localSheetId="8">'Tactical Pair'!$A$1:$AN$3</definedName>
    <definedName name="_xlnm.Print_Area" localSheetId="7">'Tactical Solo'!$A$1:$AN$5</definedName>
    <definedName name="_xlnm.Print_Area" localSheetId="2">'TEST DAY'!$A$1:$AJ$121</definedName>
    <definedName name="_xlnm.Print_Area" localSheetId="3">'Texas Independence'!$A$1:$AN$16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22" l="1"/>
  <c r="AD2" i="22"/>
  <c r="AA2" i="22"/>
  <c r="Y2" i="22"/>
  <c r="V2" i="22"/>
  <c r="T2" i="22"/>
  <c r="Q2" i="22"/>
  <c r="AK2" i="22" s="1"/>
  <c r="AL2" i="22" s="1"/>
  <c r="O2" i="22"/>
  <c r="L2" i="22"/>
  <c r="J2" i="22"/>
  <c r="E2" i="22"/>
  <c r="AI7" i="14"/>
  <c r="AD7" i="14"/>
  <c r="AA7" i="14"/>
  <c r="AK7" i="14" s="1"/>
  <c r="AL7" i="14" s="1"/>
  <c r="Y7" i="14"/>
  <c r="T7" i="14"/>
  <c r="O7" i="14"/>
  <c r="J7" i="14"/>
  <c r="E7" i="14"/>
  <c r="AI6" i="14"/>
  <c r="AD6" i="14"/>
  <c r="AA6" i="14"/>
  <c r="Y6" i="14"/>
  <c r="V6" i="14"/>
  <c r="T6" i="14"/>
  <c r="Q6" i="14"/>
  <c r="O6" i="14"/>
  <c r="L6" i="14"/>
  <c r="J6" i="14"/>
  <c r="G6" i="14"/>
  <c r="E6" i="14"/>
  <c r="AI4" i="14"/>
  <c r="AF4" i="14"/>
  <c r="AD4" i="14"/>
  <c r="Y4" i="14"/>
  <c r="V4" i="14"/>
  <c r="T4" i="14"/>
  <c r="Q4" i="14"/>
  <c r="O4" i="14"/>
  <c r="L4" i="14"/>
  <c r="J4" i="14"/>
  <c r="G4" i="14"/>
  <c r="E4" i="14"/>
  <c r="AI5" i="14"/>
  <c r="AF5" i="14"/>
  <c r="AD5" i="14"/>
  <c r="AA5" i="14"/>
  <c r="Y5" i="14"/>
  <c r="V5" i="14"/>
  <c r="T5" i="14"/>
  <c r="Q5" i="14"/>
  <c r="O5" i="14"/>
  <c r="L5" i="14"/>
  <c r="J5" i="14"/>
  <c r="G5" i="14"/>
  <c r="E5" i="14"/>
  <c r="AI3" i="14"/>
  <c r="AD3" i="14"/>
  <c r="Y3" i="14"/>
  <c r="V3" i="14"/>
  <c r="T3" i="14"/>
  <c r="Q3" i="14"/>
  <c r="O3" i="14"/>
  <c r="L3" i="14"/>
  <c r="J3" i="14"/>
  <c r="G3" i="14"/>
  <c r="E3" i="14"/>
  <c r="AI2" i="14"/>
  <c r="AD2" i="14"/>
  <c r="Y2" i="14"/>
  <c r="V2" i="14"/>
  <c r="T2" i="14"/>
  <c r="Q2" i="14"/>
  <c r="O2" i="14"/>
  <c r="L2" i="14"/>
  <c r="J2" i="14"/>
  <c r="G2" i="14"/>
  <c r="E2" i="14"/>
  <c r="AI4" i="13"/>
  <c r="AD4" i="13"/>
  <c r="AA4" i="13"/>
  <c r="Y4" i="13"/>
  <c r="V4" i="13"/>
  <c r="T4" i="13"/>
  <c r="Q4" i="13"/>
  <c r="O4" i="13"/>
  <c r="L4" i="13"/>
  <c r="J4" i="13"/>
  <c r="G4" i="13"/>
  <c r="E4" i="13"/>
  <c r="AI3" i="13"/>
  <c r="AF3" i="13"/>
  <c r="AD3" i="13"/>
  <c r="Y3" i="13"/>
  <c r="V3" i="13"/>
  <c r="T3" i="13"/>
  <c r="Q3" i="13"/>
  <c r="O3" i="13"/>
  <c r="L3" i="13"/>
  <c r="J3" i="13"/>
  <c r="G3" i="13"/>
  <c r="E3" i="13"/>
  <c r="AI5" i="13"/>
  <c r="AD5" i="13"/>
  <c r="AA5" i="13"/>
  <c r="Y5" i="13"/>
  <c r="T5" i="13"/>
  <c r="O5" i="13"/>
  <c r="J5" i="13"/>
  <c r="G5" i="13"/>
  <c r="E5" i="13"/>
  <c r="AI2" i="13"/>
  <c r="AD2" i="13"/>
  <c r="Y2" i="13"/>
  <c r="V2" i="13"/>
  <c r="T2" i="13"/>
  <c r="Q2" i="13"/>
  <c r="O2" i="13"/>
  <c r="L2" i="13"/>
  <c r="AK2" i="13" s="1"/>
  <c r="AL2" i="13" s="1"/>
  <c r="J2" i="13"/>
  <c r="E2" i="13"/>
  <c r="AI2" i="15"/>
  <c r="AD2" i="15"/>
  <c r="Y2" i="15"/>
  <c r="T2" i="15"/>
  <c r="O2" i="15"/>
  <c r="J2" i="15"/>
  <c r="G2" i="15"/>
  <c r="AK2" i="15" s="1"/>
  <c r="AL2" i="15" s="1"/>
  <c r="E2" i="15"/>
  <c r="AJ2" i="15" s="1"/>
  <c r="AM2" i="15" s="1"/>
  <c r="AI2" i="16"/>
  <c r="AF2" i="16"/>
  <c r="AD2" i="16"/>
  <c r="Y2" i="16"/>
  <c r="V2" i="16"/>
  <c r="T2" i="16"/>
  <c r="Q2" i="16"/>
  <c r="O2" i="16"/>
  <c r="L2" i="16"/>
  <c r="J2" i="16"/>
  <c r="G2" i="16"/>
  <c r="E2" i="16"/>
  <c r="V7" i="9"/>
  <c r="V6" i="9"/>
  <c r="V5" i="9"/>
  <c r="V8" i="9"/>
  <c r="V10" i="9"/>
  <c r="V13" i="9"/>
  <c r="G7" i="9"/>
  <c r="G6" i="9"/>
  <c r="G12" i="9"/>
  <c r="G5" i="9"/>
  <c r="G8" i="9"/>
  <c r="G10" i="9"/>
  <c r="L9" i="9"/>
  <c r="L7" i="9"/>
  <c r="L6" i="9"/>
  <c r="L5" i="9"/>
  <c r="L8" i="9"/>
  <c r="L10" i="9"/>
  <c r="L13" i="9"/>
  <c r="L3" i="9"/>
  <c r="AJ2" i="22" l="1"/>
  <c r="AK2" i="16"/>
  <c r="AL2" i="16" s="1"/>
  <c r="AJ2" i="16"/>
  <c r="AK5" i="13"/>
  <c r="AL5" i="13" s="1"/>
  <c r="AK2" i="14"/>
  <c r="AL2" i="14" s="1"/>
  <c r="AJ4" i="14"/>
  <c r="AJ7" i="14"/>
  <c r="AM7" i="14" s="1"/>
  <c r="AK3" i="14"/>
  <c r="AL3" i="14" s="1"/>
  <c r="AK6" i="14"/>
  <c r="AL6" i="14" s="1"/>
  <c r="AJ3" i="13"/>
  <c r="AK3" i="13"/>
  <c r="AL3" i="13" s="1"/>
  <c r="AJ5" i="13"/>
  <c r="AM5" i="13" s="1"/>
  <c r="AJ2" i="13"/>
  <c r="AM2" i="13" s="1"/>
  <c r="AJ4" i="13"/>
  <c r="AK4" i="13"/>
  <c r="AL4" i="13" s="1"/>
  <c r="AM2" i="22"/>
  <c r="AJ5" i="14"/>
  <c r="AJ6" i="14"/>
  <c r="AJ2" i="14"/>
  <c r="AM2" i="14" s="1"/>
  <c r="AJ3" i="14"/>
  <c r="AM3" i="14" s="1"/>
  <c r="AK5" i="14"/>
  <c r="AL5" i="14" s="1"/>
  <c r="AK4" i="14"/>
  <c r="AL4" i="14" s="1"/>
  <c r="AM4" i="14" s="1"/>
  <c r="Q3" i="9"/>
  <c r="Q9" i="9"/>
  <c r="Q7" i="9"/>
  <c r="Q6" i="9"/>
  <c r="Q5" i="9"/>
  <c r="Q8" i="9"/>
  <c r="Q10" i="9"/>
  <c r="Q13" i="9"/>
  <c r="Q2" i="9"/>
  <c r="Q4" i="9"/>
  <c r="AM5" i="14" l="1"/>
  <c r="AM2" i="16"/>
  <c r="AM6" i="14"/>
  <c r="AM3" i="13"/>
  <c r="AM4" i="13"/>
  <c r="AI14" i="9"/>
  <c r="AI9" i="9"/>
  <c r="AI5" i="9"/>
  <c r="AI8" i="9"/>
  <c r="AI10" i="9"/>
  <c r="AI3" i="9"/>
  <c r="AI4" i="9"/>
  <c r="AI2" i="9"/>
  <c r="AI11" i="9"/>
  <c r="AI12" i="9"/>
  <c r="AI7" i="9"/>
  <c r="AI6" i="9"/>
  <c r="AI13" i="9"/>
  <c r="AF9" i="9"/>
  <c r="AF5" i="9"/>
  <c r="AF7" i="9"/>
  <c r="AF6" i="9"/>
  <c r="AD14" i="9"/>
  <c r="AD9" i="9"/>
  <c r="AD5" i="9"/>
  <c r="AD8" i="9"/>
  <c r="AD10" i="9"/>
  <c r="AD3" i="9"/>
  <c r="AD4" i="9"/>
  <c r="AD2" i="9"/>
  <c r="AD11" i="9"/>
  <c r="AD12" i="9"/>
  <c r="AD7" i="9"/>
  <c r="AD6" i="9"/>
  <c r="AD13" i="9"/>
  <c r="AA14" i="9"/>
  <c r="AA9" i="9"/>
  <c r="AA8" i="9"/>
  <c r="AA10" i="9"/>
  <c r="AA11" i="9"/>
  <c r="AA13" i="9"/>
  <c r="Y14" i="9"/>
  <c r="Y9" i="9"/>
  <c r="Y5" i="9"/>
  <c r="Y8" i="9"/>
  <c r="Y10" i="9"/>
  <c r="Y3" i="9"/>
  <c r="Y4" i="9"/>
  <c r="Y2" i="9"/>
  <c r="Y11" i="9"/>
  <c r="Y12" i="9"/>
  <c r="Y7" i="9"/>
  <c r="Y6" i="9"/>
  <c r="Y13" i="9"/>
  <c r="V9" i="9"/>
  <c r="V3" i="9"/>
  <c r="V4" i="9"/>
  <c r="V2" i="9"/>
  <c r="T14" i="9"/>
  <c r="T9" i="9"/>
  <c r="T5" i="9"/>
  <c r="T8" i="9"/>
  <c r="T10" i="9"/>
  <c r="T3" i="9"/>
  <c r="T4" i="9"/>
  <c r="T2" i="9"/>
  <c r="T11" i="9"/>
  <c r="T12" i="9"/>
  <c r="T7" i="9"/>
  <c r="T6" i="9"/>
  <c r="T13" i="9"/>
  <c r="O14" i="9"/>
  <c r="O9" i="9"/>
  <c r="O5" i="9"/>
  <c r="O8" i="9"/>
  <c r="O10" i="9"/>
  <c r="O3" i="9"/>
  <c r="O4" i="9"/>
  <c r="O2" i="9"/>
  <c r="O11" i="9"/>
  <c r="O12" i="9"/>
  <c r="O7" i="9"/>
  <c r="O6" i="9"/>
  <c r="O13" i="9"/>
  <c r="L4" i="9"/>
  <c r="L2" i="9"/>
  <c r="J14" i="9"/>
  <c r="J9" i="9"/>
  <c r="J5" i="9"/>
  <c r="J8" i="9"/>
  <c r="J10" i="9"/>
  <c r="J3" i="9"/>
  <c r="J4" i="9"/>
  <c r="J2" i="9"/>
  <c r="J11" i="9"/>
  <c r="J12" i="9"/>
  <c r="J7" i="9"/>
  <c r="J6" i="9"/>
  <c r="J13" i="9"/>
  <c r="E13" i="9"/>
  <c r="E14" i="9"/>
  <c r="E9" i="9"/>
  <c r="E5" i="9"/>
  <c r="E8" i="9"/>
  <c r="E10" i="9"/>
  <c r="E3" i="9"/>
  <c r="E4" i="9"/>
  <c r="E2" i="9"/>
  <c r="E11" i="9"/>
  <c r="E12" i="9"/>
  <c r="E7" i="9"/>
  <c r="E6" i="9"/>
  <c r="G9" i="9"/>
  <c r="G3" i="9"/>
  <c r="G2" i="9"/>
  <c r="G11" i="9"/>
  <c r="AJ6" i="9" l="1"/>
  <c r="AJ11" i="9"/>
  <c r="AJ2" i="9"/>
  <c r="AJ9" i="9"/>
  <c r="AJ10" i="9"/>
  <c r="AJ8" i="9"/>
  <c r="AJ12" i="9"/>
  <c r="AJ5" i="9"/>
  <c r="AJ7" i="9"/>
  <c r="AJ4" i="9"/>
  <c r="AJ3" i="9"/>
  <c r="AK11" i="9"/>
  <c r="AL11" i="9" s="1"/>
  <c r="AK9" i="9"/>
  <c r="AL9" i="9" s="1"/>
  <c r="AK2" i="9"/>
  <c r="AL2" i="9" s="1"/>
  <c r="AK6" i="9"/>
  <c r="AL6" i="9" s="1"/>
  <c r="AK3" i="9"/>
  <c r="AL3" i="9" s="1"/>
  <c r="AK10" i="9"/>
  <c r="AL10" i="9" s="1"/>
  <c r="AK4" i="9"/>
  <c r="AL4" i="9" s="1"/>
  <c r="AK13" i="9"/>
  <c r="AL13" i="9" s="1"/>
  <c r="AK7" i="9"/>
  <c r="AL7" i="9" s="1"/>
  <c r="AK8" i="9"/>
  <c r="AL8" i="9" s="1"/>
  <c r="AK12" i="9"/>
  <c r="AL12" i="9" s="1"/>
  <c r="AK5" i="9"/>
  <c r="AL5" i="9" s="1"/>
  <c r="AJ14" i="9"/>
  <c r="AK14" i="9"/>
  <c r="AL14" i="9" s="1"/>
  <c r="AJ13" i="9"/>
  <c r="AM2" i="9" l="1"/>
  <c r="AM10" i="9"/>
  <c r="AM8" i="9"/>
  <c r="AM6" i="9"/>
  <c r="AM7" i="9"/>
  <c r="AM4" i="9"/>
  <c r="AM12" i="9"/>
  <c r="AM5" i="9"/>
  <c r="AM14" i="9"/>
  <c r="AM9" i="9"/>
  <c r="AM11" i="9"/>
  <c r="AM13" i="9"/>
  <c r="AM3" i="9"/>
  <c r="K17" i="5"/>
  <c r="AG40" i="5"/>
  <c r="AH40" i="5" s="1"/>
  <c r="AG67" i="5"/>
  <c r="AH67" i="5" s="1"/>
  <c r="G19" i="6"/>
  <c r="H19" i="6"/>
  <c r="K19" i="6"/>
  <c r="L19" i="6"/>
  <c r="O19" i="6"/>
  <c r="P19" i="6"/>
  <c r="S19" i="6"/>
  <c r="T19" i="6"/>
  <c r="W19" i="6"/>
  <c r="AA19" i="6"/>
  <c r="AE24" i="6"/>
  <c r="G28" i="6"/>
  <c r="H28" i="6"/>
  <c r="K28" i="6"/>
  <c r="L28" i="6"/>
  <c r="O28" i="6"/>
  <c r="P28" i="6"/>
  <c r="S28" i="6"/>
  <c r="T28" i="6"/>
  <c r="W28" i="6"/>
  <c r="AA28" i="6"/>
  <c r="AE27" i="6"/>
  <c r="T5" i="8"/>
  <c r="AE2" i="8"/>
  <c r="AA2" i="8"/>
  <c r="W2" i="8"/>
  <c r="T2" i="8"/>
  <c r="S2" i="8"/>
  <c r="P2" i="8"/>
  <c r="O2" i="8"/>
  <c r="L2" i="8"/>
  <c r="K2" i="8"/>
  <c r="H2" i="8"/>
  <c r="AG2" i="8" s="1"/>
  <c r="AH2" i="8" s="1"/>
  <c r="G2" i="8"/>
  <c r="AE3" i="8"/>
  <c r="AA3" i="8"/>
  <c r="W3" i="8"/>
  <c r="T3" i="8"/>
  <c r="S3" i="8"/>
  <c r="P3" i="8"/>
  <c r="O3" i="8"/>
  <c r="L3" i="8"/>
  <c r="K3" i="8"/>
  <c r="H3" i="8"/>
  <c r="G3" i="8"/>
  <c r="AF3" i="8" s="1"/>
  <c r="AE4" i="8"/>
  <c r="AA4" i="8"/>
  <c r="W4" i="8"/>
  <c r="T4" i="8"/>
  <c r="S4" i="8"/>
  <c r="P4" i="8"/>
  <c r="O4" i="8"/>
  <c r="L4" i="8"/>
  <c r="K4" i="8"/>
  <c r="H4" i="8"/>
  <c r="G4" i="8"/>
  <c r="AE6" i="8"/>
  <c r="AA6" i="8"/>
  <c r="W6" i="8"/>
  <c r="S6" i="8"/>
  <c r="O6" i="8"/>
  <c r="L6" i="8"/>
  <c r="K6" i="8"/>
  <c r="H6" i="8"/>
  <c r="G6" i="8"/>
  <c r="AE5" i="8"/>
  <c r="AA5" i="8"/>
  <c r="W5" i="8"/>
  <c r="S5" i="8"/>
  <c r="P5" i="8"/>
  <c r="O5" i="8"/>
  <c r="L5" i="8"/>
  <c r="K5" i="8"/>
  <c r="H5" i="8"/>
  <c r="G5" i="8"/>
  <c r="AE9" i="7"/>
  <c r="AA9" i="7"/>
  <c r="W9" i="7"/>
  <c r="T9" i="7"/>
  <c r="S9" i="7"/>
  <c r="O9" i="7"/>
  <c r="L9" i="7"/>
  <c r="K9" i="7"/>
  <c r="H9" i="7"/>
  <c r="AG9" i="7" s="1"/>
  <c r="AH9" i="7" s="1"/>
  <c r="G9" i="7"/>
  <c r="AE17" i="7"/>
  <c r="AA17" i="7"/>
  <c r="W17" i="7"/>
  <c r="T17" i="7"/>
  <c r="S17" i="7"/>
  <c r="P17" i="7"/>
  <c r="O17" i="7"/>
  <c r="L17" i="7"/>
  <c r="K17" i="7"/>
  <c r="H17" i="7"/>
  <c r="G17" i="7"/>
  <c r="AF17" i="7" s="1"/>
  <c r="AE13" i="7"/>
  <c r="AA13" i="7"/>
  <c r="W13" i="7"/>
  <c r="T13" i="7"/>
  <c r="S13" i="7"/>
  <c r="O13" i="7"/>
  <c r="L13" i="7"/>
  <c r="K13" i="7"/>
  <c r="H13" i="7"/>
  <c r="AG13" i="7" s="1"/>
  <c r="AH13" i="7" s="1"/>
  <c r="G13" i="7"/>
  <c r="AF13" i="7" s="1"/>
  <c r="AE3" i="7"/>
  <c r="AA3" i="7"/>
  <c r="W3" i="7"/>
  <c r="T3" i="7"/>
  <c r="S3" i="7"/>
  <c r="O3" i="7"/>
  <c r="K3" i="7"/>
  <c r="H3" i="7"/>
  <c r="G3" i="7"/>
  <c r="AE15" i="7"/>
  <c r="AA15" i="7"/>
  <c r="W15" i="7"/>
  <c r="S15" i="7"/>
  <c r="O15" i="7"/>
  <c r="L15" i="7"/>
  <c r="K15" i="7"/>
  <c r="H15" i="7"/>
  <c r="G15" i="7"/>
  <c r="AE14" i="7"/>
  <c r="AA14" i="7"/>
  <c r="W14" i="7"/>
  <c r="T14" i="7"/>
  <c r="S14" i="7"/>
  <c r="O14" i="7"/>
  <c r="L14" i="7"/>
  <c r="K14" i="7"/>
  <c r="H14" i="7"/>
  <c r="AG14" i="7" s="1"/>
  <c r="AH14" i="7" s="1"/>
  <c r="G14" i="7"/>
  <c r="AE12" i="7"/>
  <c r="AA12" i="7"/>
  <c r="W12" i="7"/>
  <c r="T12" i="7"/>
  <c r="S12" i="7"/>
  <c r="P12" i="7"/>
  <c r="O12" i="7"/>
  <c r="L12" i="7"/>
  <c r="K12" i="7"/>
  <c r="H12" i="7"/>
  <c r="AG12" i="7" s="1"/>
  <c r="AH12" i="7" s="1"/>
  <c r="G12" i="7"/>
  <c r="AE10" i="7"/>
  <c r="AA10" i="7"/>
  <c r="W10" i="7"/>
  <c r="T10" i="7"/>
  <c r="S10" i="7"/>
  <c r="O10" i="7"/>
  <c r="L10" i="7"/>
  <c r="K10" i="7"/>
  <c r="H10" i="7"/>
  <c r="AG10" i="7" s="1"/>
  <c r="AH10" i="7" s="1"/>
  <c r="G10" i="7"/>
  <c r="AE5" i="7"/>
  <c r="AA5" i="7"/>
  <c r="W5" i="7"/>
  <c r="T5" i="7"/>
  <c r="S5" i="7"/>
  <c r="P5" i="7"/>
  <c r="O5" i="7"/>
  <c r="L5" i="7"/>
  <c r="K5" i="7"/>
  <c r="H5" i="7"/>
  <c r="AG5" i="7" s="1"/>
  <c r="AH5" i="7" s="1"/>
  <c r="G5" i="7"/>
  <c r="AE2" i="7"/>
  <c r="AA2" i="7"/>
  <c r="W2" i="7"/>
  <c r="T2" i="7"/>
  <c r="S2" i="7"/>
  <c r="P2" i="7"/>
  <c r="O2" i="7"/>
  <c r="L2" i="7"/>
  <c r="K2" i="7"/>
  <c r="H2" i="7"/>
  <c r="G2" i="7"/>
  <c r="AE7" i="7"/>
  <c r="AA7" i="7"/>
  <c r="W7" i="7"/>
  <c r="S7" i="7"/>
  <c r="O7" i="7"/>
  <c r="L7" i="7"/>
  <c r="K7" i="7"/>
  <c r="H7" i="7"/>
  <c r="AG7" i="7" s="1"/>
  <c r="AH7" i="7" s="1"/>
  <c r="G7" i="7"/>
  <c r="AE4" i="7"/>
  <c r="AA4" i="7"/>
  <c r="W4" i="7"/>
  <c r="S4" i="7"/>
  <c r="O4" i="7"/>
  <c r="L4" i="7"/>
  <c r="K4" i="7"/>
  <c r="H4" i="7"/>
  <c r="G4" i="7"/>
  <c r="AE6" i="7"/>
  <c r="AA6" i="7"/>
  <c r="W6" i="7"/>
  <c r="T6" i="7"/>
  <c r="S6" i="7"/>
  <c r="P6" i="7"/>
  <c r="O6" i="7"/>
  <c r="L6" i="7"/>
  <c r="K6" i="7"/>
  <c r="H6" i="7"/>
  <c r="G6" i="7"/>
  <c r="AE16" i="7"/>
  <c r="AA16" i="7"/>
  <c r="W16" i="7"/>
  <c r="T16" i="7"/>
  <c r="S16" i="7"/>
  <c r="P16" i="7"/>
  <c r="O16" i="7"/>
  <c r="L16" i="7"/>
  <c r="K16" i="7"/>
  <c r="H16" i="7"/>
  <c r="AG16" i="7" s="1"/>
  <c r="AH16" i="7" s="1"/>
  <c r="G16" i="7"/>
  <c r="AE11" i="7"/>
  <c r="AA11" i="7"/>
  <c r="W11" i="7"/>
  <c r="S11" i="7"/>
  <c r="P11" i="7"/>
  <c r="O11" i="7"/>
  <c r="L11" i="7"/>
  <c r="K11" i="7"/>
  <c r="H11" i="7"/>
  <c r="AG11" i="7" s="1"/>
  <c r="AH11" i="7" s="1"/>
  <c r="G11" i="7"/>
  <c r="AE8" i="7"/>
  <c r="AA8" i="7"/>
  <c r="W8" i="7"/>
  <c r="T8" i="7"/>
  <c r="S8" i="7"/>
  <c r="P8" i="7"/>
  <c r="O8" i="7"/>
  <c r="L8" i="7"/>
  <c r="K8" i="7"/>
  <c r="H8" i="7"/>
  <c r="AG8" i="7" s="1"/>
  <c r="AH8" i="7" s="1"/>
  <c r="G8" i="7"/>
  <c r="AE18" i="7"/>
  <c r="AA18" i="7"/>
  <c r="W18" i="7"/>
  <c r="T18" i="7"/>
  <c r="S18" i="7"/>
  <c r="P18" i="7"/>
  <c r="O18" i="7"/>
  <c r="L18" i="7"/>
  <c r="K18" i="7"/>
  <c r="H18" i="7"/>
  <c r="AE8" i="6"/>
  <c r="AA25" i="6"/>
  <c r="W25" i="6"/>
  <c r="T25" i="6"/>
  <c r="S25" i="6"/>
  <c r="P25" i="6"/>
  <c r="O25" i="6"/>
  <c r="K25" i="6"/>
  <c r="H25" i="6"/>
  <c r="G25" i="6"/>
  <c r="AE53" i="6"/>
  <c r="AA9" i="6"/>
  <c r="W9" i="6"/>
  <c r="T9" i="6"/>
  <c r="S9" i="6"/>
  <c r="P9" i="6"/>
  <c r="O9" i="6"/>
  <c r="K9" i="6"/>
  <c r="H9" i="6"/>
  <c r="G9" i="6"/>
  <c r="AE52" i="6"/>
  <c r="AA54" i="6"/>
  <c r="W54" i="6"/>
  <c r="T54" i="6"/>
  <c r="S54" i="6"/>
  <c r="O54" i="6"/>
  <c r="L54" i="6"/>
  <c r="K54" i="6"/>
  <c r="H54" i="6"/>
  <c r="G54" i="6"/>
  <c r="AE13" i="6"/>
  <c r="AA31" i="6"/>
  <c r="W31" i="6"/>
  <c r="T31" i="6"/>
  <c r="S31" i="6"/>
  <c r="O31" i="6"/>
  <c r="K31" i="6"/>
  <c r="H31" i="6"/>
  <c r="G31" i="6"/>
  <c r="AE51" i="6"/>
  <c r="AA12" i="6"/>
  <c r="W12" i="6"/>
  <c r="T12" i="6"/>
  <c r="S12" i="6"/>
  <c r="P12" i="6"/>
  <c r="O12" i="6"/>
  <c r="L12" i="6"/>
  <c r="K12" i="6"/>
  <c r="H12" i="6"/>
  <c r="G12" i="6"/>
  <c r="AE55" i="6"/>
  <c r="AA8" i="6"/>
  <c r="W8" i="6"/>
  <c r="T8" i="6"/>
  <c r="S8" i="6"/>
  <c r="P8" i="6"/>
  <c r="O8" i="6"/>
  <c r="L8" i="6"/>
  <c r="K8" i="6"/>
  <c r="G8" i="6"/>
  <c r="AE48" i="6"/>
  <c r="AA51" i="6"/>
  <c r="W51" i="6"/>
  <c r="T51" i="6"/>
  <c r="S51" i="6"/>
  <c r="O51" i="6"/>
  <c r="L51" i="6"/>
  <c r="K51" i="6"/>
  <c r="H51" i="6"/>
  <c r="G51" i="6"/>
  <c r="AE15" i="6"/>
  <c r="AA22" i="6"/>
  <c r="W22" i="6"/>
  <c r="T22" i="6"/>
  <c r="S22" i="6"/>
  <c r="P22" i="6"/>
  <c r="O22" i="6"/>
  <c r="L22" i="6"/>
  <c r="K22" i="6"/>
  <c r="H22" i="6"/>
  <c r="G22" i="6"/>
  <c r="AE49" i="6"/>
  <c r="AA52" i="6"/>
  <c r="W52" i="6"/>
  <c r="T52" i="6"/>
  <c r="S52" i="6"/>
  <c r="O52" i="6"/>
  <c r="L52" i="6"/>
  <c r="K52" i="6"/>
  <c r="H52" i="6"/>
  <c r="G52" i="6"/>
  <c r="AE50" i="6"/>
  <c r="AA53" i="6"/>
  <c r="W53" i="6"/>
  <c r="T53" i="6"/>
  <c r="S53" i="6"/>
  <c r="O53" i="6"/>
  <c r="L53" i="6"/>
  <c r="K53" i="6"/>
  <c r="H53" i="6"/>
  <c r="G53" i="6"/>
  <c r="AE57" i="6"/>
  <c r="AA56" i="6"/>
  <c r="W56" i="6"/>
  <c r="T56" i="6"/>
  <c r="S56" i="6"/>
  <c r="O56" i="6"/>
  <c r="L56" i="6"/>
  <c r="K56" i="6"/>
  <c r="H56" i="6"/>
  <c r="G56" i="6"/>
  <c r="AE11" i="6"/>
  <c r="AA29" i="6"/>
  <c r="W29" i="6"/>
  <c r="S29" i="6"/>
  <c r="O29" i="6"/>
  <c r="K29" i="6"/>
  <c r="H29" i="6"/>
  <c r="G29" i="6"/>
  <c r="AE46" i="6"/>
  <c r="AA27" i="6"/>
  <c r="W27" i="6"/>
  <c r="T27" i="6"/>
  <c r="S27" i="6"/>
  <c r="P27" i="6"/>
  <c r="O27" i="6"/>
  <c r="L27" i="6"/>
  <c r="K27" i="6"/>
  <c r="H27" i="6"/>
  <c r="G27" i="6"/>
  <c r="AE45" i="6"/>
  <c r="AA13" i="6"/>
  <c r="W13" i="6"/>
  <c r="T13" i="6"/>
  <c r="S13" i="6"/>
  <c r="P13" i="6"/>
  <c r="O13" i="6"/>
  <c r="L13" i="6"/>
  <c r="K13" i="6"/>
  <c r="H13" i="6"/>
  <c r="G13" i="6"/>
  <c r="AE44" i="6"/>
  <c r="AA50" i="6"/>
  <c r="W50" i="6"/>
  <c r="T50" i="6"/>
  <c r="S50" i="6"/>
  <c r="O50" i="6"/>
  <c r="L50" i="6"/>
  <c r="K50" i="6"/>
  <c r="H50" i="6"/>
  <c r="G50" i="6"/>
  <c r="AE43" i="6"/>
  <c r="AA11" i="6"/>
  <c r="W11" i="6"/>
  <c r="T11" i="6"/>
  <c r="S11" i="6"/>
  <c r="P11" i="6"/>
  <c r="O11" i="6"/>
  <c r="L11" i="6"/>
  <c r="K11" i="6"/>
  <c r="H11" i="6"/>
  <c r="G11" i="6"/>
  <c r="AE42" i="6"/>
  <c r="AA49" i="6"/>
  <c r="W49" i="6"/>
  <c r="T49" i="6"/>
  <c r="S49" i="6"/>
  <c r="O49" i="6"/>
  <c r="L49" i="6"/>
  <c r="K49" i="6"/>
  <c r="H49" i="6"/>
  <c r="G49" i="6"/>
  <c r="AE40" i="6"/>
  <c r="AA15" i="6"/>
  <c r="W15" i="6"/>
  <c r="T15" i="6"/>
  <c r="S15" i="6"/>
  <c r="P15" i="6"/>
  <c r="O15" i="6"/>
  <c r="L15" i="6"/>
  <c r="K15" i="6"/>
  <c r="H15" i="6"/>
  <c r="G15" i="6"/>
  <c r="AE41" i="6"/>
  <c r="AA48" i="6"/>
  <c r="W48" i="6"/>
  <c r="T48" i="6"/>
  <c r="S48" i="6"/>
  <c r="O48" i="6"/>
  <c r="L48" i="6"/>
  <c r="K48" i="6"/>
  <c r="H48" i="6"/>
  <c r="G48" i="6"/>
  <c r="AE37" i="6"/>
  <c r="AA45" i="6"/>
  <c r="W45" i="6"/>
  <c r="S45" i="6"/>
  <c r="O45" i="6"/>
  <c r="L45" i="6"/>
  <c r="K45" i="6"/>
  <c r="H45" i="6"/>
  <c r="G45" i="6"/>
  <c r="AE38" i="6"/>
  <c r="AA46" i="6"/>
  <c r="W46" i="6"/>
  <c r="S46" i="6"/>
  <c r="O46" i="6"/>
  <c r="L46" i="6"/>
  <c r="K46" i="6"/>
  <c r="H46" i="6"/>
  <c r="G46" i="6"/>
  <c r="AE47" i="6"/>
  <c r="AA10" i="6"/>
  <c r="W10" i="6"/>
  <c r="S10" i="6"/>
  <c r="P10" i="6"/>
  <c r="O10" i="6"/>
  <c r="L10" i="6"/>
  <c r="K10" i="6"/>
  <c r="H10" i="6"/>
  <c r="G10" i="6"/>
  <c r="AE39" i="6"/>
  <c r="AA47" i="6"/>
  <c r="W47" i="6"/>
  <c r="S47" i="6"/>
  <c r="O47" i="6"/>
  <c r="L47" i="6"/>
  <c r="K47" i="6"/>
  <c r="H47" i="6"/>
  <c r="G47" i="6"/>
  <c r="AE36" i="6"/>
  <c r="AA44" i="6"/>
  <c r="W44" i="6"/>
  <c r="T44" i="6"/>
  <c r="S44" i="6"/>
  <c r="O44" i="6"/>
  <c r="L44" i="6"/>
  <c r="K44" i="6"/>
  <c r="H44" i="6"/>
  <c r="G44" i="6"/>
  <c r="AE34" i="6"/>
  <c r="AA42" i="6"/>
  <c r="W42" i="6"/>
  <c r="S42" i="6"/>
  <c r="O42" i="6"/>
  <c r="L42" i="6"/>
  <c r="K42" i="6"/>
  <c r="H42" i="6"/>
  <c r="G42" i="6"/>
  <c r="AE35" i="6"/>
  <c r="AA43" i="6"/>
  <c r="W43" i="6"/>
  <c r="T43" i="6"/>
  <c r="S43" i="6"/>
  <c r="O43" i="6"/>
  <c r="L43" i="6"/>
  <c r="K43" i="6"/>
  <c r="H43" i="6"/>
  <c r="G43" i="6"/>
  <c r="AE33" i="6"/>
  <c r="AA16" i="6"/>
  <c r="W16" i="6"/>
  <c r="T16" i="6"/>
  <c r="S16" i="6"/>
  <c r="P16" i="6"/>
  <c r="O16" i="6"/>
  <c r="L16" i="6"/>
  <c r="K16" i="6"/>
  <c r="H16" i="6"/>
  <c r="G16" i="6"/>
  <c r="AE31" i="6"/>
  <c r="AA40" i="6"/>
  <c r="W40" i="6"/>
  <c r="S40" i="6"/>
  <c r="O40" i="6"/>
  <c r="L40" i="6"/>
  <c r="K40" i="6"/>
  <c r="H40" i="6"/>
  <c r="AG31" i="6" s="1"/>
  <c r="AH31" i="6" s="1"/>
  <c r="G40" i="6"/>
  <c r="AE29" i="6"/>
  <c r="AA14" i="6"/>
  <c r="W14" i="6"/>
  <c r="S14" i="6"/>
  <c r="P14" i="6"/>
  <c r="O14" i="6"/>
  <c r="L14" i="6"/>
  <c r="K14" i="6"/>
  <c r="H14" i="6"/>
  <c r="AG29" i="6" s="1"/>
  <c r="AH29" i="6" s="1"/>
  <c r="G14" i="6"/>
  <c r="AE28" i="6"/>
  <c r="AA38" i="6"/>
  <c r="W38" i="6"/>
  <c r="S38" i="6"/>
  <c r="O38" i="6"/>
  <c r="L38" i="6"/>
  <c r="K38" i="6"/>
  <c r="H38" i="6"/>
  <c r="G38" i="6"/>
  <c r="AE30" i="6"/>
  <c r="AA39" i="6"/>
  <c r="W39" i="6"/>
  <c r="S39" i="6"/>
  <c r="O39" i="6"/>
  <c r="L39" i="6"/>
  <c r="K39" i="6"/>
  <c r="H39" i="6"/>
  <c r="G39" i="6"/>
  <c r="AE32" i="6"/>
  <c r="AA41" i="6"/>
  <c r="W41" i="6"/>
  <c r="S41" i="6"/>
  <c r="O41" i="6"/>
  <c r="L41" i="6"/>
  <c r="K41" i="6"/>
  <c r="H41" i="6"/>
  <c r="G41" i="6"/>
  <c r="AE9" i="6"/>
  <c r="AA26" i="6"/>
  <c r="W26" i="6"/>
  <c r="T26" i="6"/>
  <c r="S26" i="6"/>
  <c r="P26" i="6"/>
  <c r="O26" i="6"/>
  <c r="K26" i="6"/>
  <c r="H26" i="6"/>
  <c r="G26" i="6"/>
  <c r="AE12" i="6"/>
  <c r="AA30" i="6"/>
  <c r="W30" i="6"/>
  <c r="S30" i="6"/>
  <c r="O30" i="6"/>
  <c r="K30" i="6"/>
  <c r="H30" i="6"/>
  <c r="G30" i="6"/>
  <c r="AE26" i="6"/>
  <c r="AA17" i="6"/>
  <c r="W17" i="6"/>
  <c r="S17" i="6"/>
  <c r="P17" i="6"/>
  <c r="O17" i="6"/>
  <c r="L17" i="6"/>
  <c r="K17" i="6"/>
  <c r="H17" i="6"/>
  <c r="G17" i="6"/>
  <c r="AE25" i="6"/>
  <c r="AA18" i="6"/>
  <c r="W18" i="6"/>
  <c r="T18" i="6"/>
  <c r="S18" i="6"/>
  <c r="P18" i="6"/>
  <c r="O18" i="6"/>
  <c r="L18" i="6"/>
  <c r="K18" i="6"/>
  <c r="H18" i="6"/>
  <c r="G18" i="6"/>
  <c r="AE56" i="6"/>
  <c r="AA55" i="6"/>
  <c r="W55" i="6"/>
  <c r="S55" i="6"/>
  <c r="O55" i="6"/>
  <c r="L55" i="6"/>
  <c r="K55" i="6"/>
  <c r="H55" i="6"/>
  <c r="G55" i="6"/>
  <c r="AF56" i="6" s="1"/>
  <c r="AE23" i="6"/>
  <c r="AA37" i="6"/>
  <c r="W37" i="6"/>
  <c r="S37" i="6"/>
  <c r="O37" i="6"/>
  <c r="L37" i="6"/>
  <c r="H37" i="6"/>
  <c r="G37" i="6"/>
  <c r="AE22" i="6"/>
  <c r="AA21" i="6"/>
  <c r="W21" i="6"/>
  <c r="S21" i="6"/>
  <c r="P21" i="6"/>
  <c r="O21" i="6"/>
  <c r="L21" i="6"/>
  <c r="K21" i="6"/>
  <c r="H21" i="6"/>
  <c r="G21" i="6"/>
  <c r="AE21" i="6"/>
  <c r="AA36" i="6"/>
  <c r="W36" i="6"/>
  <c r="S36" i="6"/>
  <c r="O36" i="6"/>
  <c r="L36" i="6"/>
  <c r="K36" i="6"/>
  <c r="H36" i="6"/>
  <c r="G36" i="6"/>
  <c r="AE20" i="6"/>
  <c r="AA20" i="6"/>
  <c r="W20" i="6"/>
  <c r="T20" i="6"/>
  <c r="S20" i="6"/>
  <c r="P20" i="6"/>
  <c r="O20" i="6"/>
  <c r="L20" i="6"/>
  <c r="K20" i="6"/>
  <c r="H20" i="6"/>
  <c r="G20" i="6"/>
  <c r="AE19" i="6"/>
  <c r="AA35" i="6"/>
  <c r="W35" i="6"/>
  <c r="S35" i="6"/>
  <c r="O35" i="6"/>
  <c r="L35" i="6"/>
  <c r="K35" i="6"/>
  <c r="H35" i="6"/>
  <c r="G35" i="6"/>
  <c r="AE18" i="6"/>
  <c r="AA34" i="6"/>
  <c r="W34" i="6"/>
  <c r="T34" i="6"/>
  <c r="S34" i="6"/>
  <c r="O34" i="6"/>
  <c r="L34" i="6"/>
  <c r="K34" i="6"/>
  <c r="H34" i="6"/>
  <c r="G34" i="6"/>
  <c r="AE17" i="6"/>
  <c r="AA24" i="6"/>
  <c r="W24" i="6"/>
  <c r="S24" i="6"/>
  <c r="P24" i="6"/>
  <c r="O24" i="6"/>
  <c r="L24" i="6"/>
  <c r="K24" i="6"/>
  <c r="H24" i="6"/>
  <c r="G24" i="6"/>
  <c r="AE16" i="6"/>
  <c r="AA33" i="6"/>
  <c r="W33" i="6"/>
  <c r="S33" i="6"/>
  <c r="O33" i="6"/>
  <c r="L33" i="6"/>
  <c r="K33" i="6"/>
  <c r="H33" i="6"/>
  <c r="G33" i="6"/>
  <c r="AE14" i="6"/>
  <c r="AA32" i="6"/>
  <c r="W32" i="6"/>
  <c r="S32" i="6"/>
  <c r="O32" i="6"/>
  <c r="L32" i="6"/>
  <c r="K32" i="6"/>
  <c r="H32" i="6"/>
  <c r="AG14" i="6" s="1"/>
  <c r="AH14" i="6" s="1"/>
  <c r="G32" i="6"/>
  <c r="AE1" i="6"/>
  <c r="AA57" i="6"/>
  <c r="W57" i="6"/>
  <c r="T57" i="6"/>
  <c r="S57" i="6"/>
  <c r="P57" i="6"/>
  <c r="O57" i="6"/>
  <c r="L57" i="6"/>
  <c r="K57" i="6"/>
  <c r="H57" i="6"/>
  <c r="AG1" i="6" s="1"/>
  <c r="AH1" i="6" s="1"/>
  <c r="G57" i="6"/>
  <c r="AF1" i="6" s="1"/>
  <c r="AI1" i="6" s="1"/>
  <c r="AE10" i="6"/>
  <c r="AA23" i="6"/>
  <c r="W23" i="6"/>
  <c r="S23" i="6"/>
  <c r="P23" i="6"/>
  <c r="O23" i="6"/>
  <c r="K23" i="6"/>
  <c r="H23" i="6"/>
  <c r="G23" i="6"/>
  <c r="AF10" i="6" s="1"/>
  <c r="AG32" i="5"/>
  <c r="AH32" i="5" s="1"/>
  <c r="K32" i="5"/>
  <c r="AG64" i="5"/>
  <c r="AH64" i="5" s="1"/>
  <c r="AG38" i="5"/>
  <c r="AH38" i="5" s="1"/>
  <c r="AG53" i="5"/>
  <c r="AH53" i="5" s="1"/>
  <c r="AG44" i="5"/>
  <c r="AH44" i="5" s="1"/>
  <c r="AG49" i="5"/>
  <c r="AH49" i="5" s="1"/>
  <c r="AG51" i="5"/>
  <c r="AH51" i="5" s="1"/>
  <c r="AG63" i="5"/>
  <c r="AH63" i="5" s="1"/>
  <c r="AG34" i="5"/>
  <c r="AH34" i="5" s="1"/>
  <c r="AG21" i="5"/>
  <c r="AH21" i="5" s="1"/>
  <c r="AG33" i="5"/>
  <c r="AH33" i="5" s="1"/>
  <c r="AG11" i="5"/>
  <c r="AH11" i="5" s="1"/>
  <c r="AG69" i="5"/>
  <c r="AH69" i="5" s="1"/>
  <c r="W11" i="5"/>
  <c r="W12" i="5"/>
  <c r="W13" i="5"/>
  <c r="W55" i="5"/>
  <c r="W56" i="5"/>
  <c r="W14" i="5"/>
  <c r="W15" i="5"/>
  <c r="W16" i="5"/>
  <c r="W57" i="5"/>
  <c r="W19" i="5"/>
  <c r="W62" i="5"/>
  <c r="W43" i="5"/>
  <c r="AG43" i="5"/>
  <c r="AH43" i="5" s="1"/>
  <c r="AG70" i="5"/>
  <c r="AH70" i="5" s="1"/>
  <c r="AG10" i="5"/>
  <c r="AH10" i="5" s="1"/>
  <c r="G50" i="5"/>
  <c r="K50" i="5"/>
  <c r="O50" i="5"/>
  <c r="S50" i="5"/>
  <c r="W50" i="5"/>
  <c r="AA50" i="5"/>
  <c r="AE50" i="5"/>
  <c r="G51" i="5"/>
  <c r="K51" i="5"/>
  <c r="O51" i="5"/>
  <c r="S51" i="5"/>
  <c r="W51" i="5"/>
  <c r="AA51" i="5"/>
  <c r="AE51" i="5"/>
  <c r="G52" i="5"/>
  <c r="K52" i="5"/>
  <c r="O52" i="5"/>
  <c r="S52" i="5"/>
  <c r="W52" i="5"/>
  <c r="AA52" i="5"/>
  <c r="AE52" i="5"/>
  <c r="G53" i="5"/>
  <c r="K53" i="5"/>
  <c r="O53" i="5"/>
  <c r="S53" i="5"/>
  <c r="W53" i="5"/>
  <c r="AA53" i="5"/>
  <c r="AE53" i="5"/>
  <c r="G65" i="5"/>
  <c r="K65" i="5"/>
  <c r="O65" i="5"/>
  <c r="S65" i="5"/>
  <c r="W65" i="5"/>
  <c r="AA65" i="5"/>
  <c r="AE65" i="5"/>
  <c r="AE66" i="5"/>
  <c r="AE54" i="5"/>
  <c r="G49" i="5"/>
  <c r="K49" i="5"/>
  <c r="O49" i="5"/>
  <c r="S49" i="5"/>
  <c r="W49" i="5"/>
  <c r="AA49" i="5"/>
  <c r="AE49" i="5"/>
  <c r="AA66" i="5"/>
  <c r="AA54" i="5"/>
  <c r="W66" i="5"/>
  <c r="W54" i="5"/>
  <c r="S66" i="5"/>
  <c r="S54" i="5"/>
  <c r="O66" i="5"/>
  <c r="O54" i="5"/>
  <c r="K66" i="5"/>
  <c r="K54" i="5"/>
  <c r="G66" i="5"/>
  <c r="G54" i="5"/>
  <c r="K6" i="5"/>
  <c r="AG4" i="3"/>
  <c r="AH4" i="3" s="1"/>
  <c r="AE4" i="3"/>
  <c r="AA4" i="3"/>
  <c r="W4" i="3"/>
  <c r="S4" i="3"/>
  <c r="O4" i="3"/>
  <c r="K4" i="3"/>
  <c r="F4" i="3"/>
  <c r="G4" i="3"/>
  <c r="AF4" i="3"/>
  <c r="AG3" i="3"/>
  <c r="AH3" i="3" s="1"/>
  <c r="AE3" i="3"/>
  <c r="AA3" i="3"/>
  <c r="W3" i="3"/>
  <c r="S3" i="3"/>
  <c r="O3" i="3"/>
  <c r="K3" i="3"/>
  <c r="F3" i="3"/>
  <c r="G3" i="3"/>
  <c r="AF3" i="3"/>
  <c r="AI3" i="3" s="1"/>
  <c r="AG2" i="3"/>
  <c r="AH2" i="3" s="1"/>
  <c r="AE2" i="3"/>
  <c r="AA2" i="3"/>
  <c r="W2" i="3"/>
  <c r="S2" i="3"/>
  <c r="O2" i="3"/>
  <c r="K2" i="3"/>
  <c r="F2" i="3"/>
  <c r="G2" i="3"/>
  <c r="AF2" i="3"/>
  <c r="F16" i="1"/>
  <c r="G16" i="1" s="1"/>
  <c r="AF16" i="1" s="1"/>
  <c r="AI16" i="1" s="1"/>
  <c r="K16" i="1"/>
  <c r="O16" i="1"/>
  <c r="S16" i="1"/>
  <c r="W16" i="1"/>
  <c r="AA16" i="1"/>
  <c r="AE16" i="1"/>
  <c r="AG16" i="1"/>
  <c r="AH16" i="1"/>
  <c r="F17" i="1"/>
  <c r="G17" i="1" s="1"/>
  <c r="AF17" i="1" s="1"/>
  <c r="AI17" i="1" s="1"/>
  <c r="K17" i="1"/>
  <c r="O17" i="1"/>
  <c r="S17" i="1"/>
  <c r="W17" i="1"/>
  <c r="AA17" i="1"/>
  <c r="AE17" i="1"/>
  <c r="AG17" i="1"/>
  <c r="AH17" i="1"/>
  <c r="F18" i="1"/>
  <c r="G18" i="1" s="1"/>
  <c r="AF18" i="1" s="1"/>
  <c r="AI18" i="1" s="1"/>
  <c r="K18" i="1"/>
  <c r="O18" i="1"/>
  <c r="S18" i="1"/>
  <c r="W18" i="1"/>
  <c r="AA18" i="1"/>
  <c r="AE18" i="1"/>
  <c r="AG18" i="1"/>
  <c r="AH18" i="1"/>
  <c r="F19" i="1"/>
  <c r="G19" i="1" s="1"/>
  <c r="AF19" i="1" s="1"/>
  <c r="AI19" i="1" s="1"/>
  <c r="K19" i="1"/>
  <c r="O19" i="1"/>
  <c r="S19" i="1"/>
  <c r="W19" i="1"/>
  <c r="AA19" i="1"/>
  <c r="AE19" i="1"/>
  <c r="AG19" i="1"/>
  <c r="AH19" i="1"/>
  <c r="F20" i="1"/>
  <c r="F15" i="1"/>
  <c r="G15" i="1" s="1"/>
  <c r="AF15" i="1" s="1"/>
  <c r="AI15" i="1" s="1"/>
  <c r="F14" i="1"/>
  <c r="F13" i="1"/>
  <c r="F12" i="1"/>
  <c r="AG48" i="5"/>
  <c r="AH48" i="5" s="1"/>
  <c r="AE48" i="5"/>
  <c r="AA48" i="5"/>
  <c r="W48" i="5"/>
  <c r="S48" i="5"/>
  <c r="O48" i="5"/>
  <c r="K48" i="5"/>
  <c r="G48" i="5"/>
  <c r="AE64" i="5"/>
  <c r="AA64" i="5"/>
  <c r="W64" i="5"/>
  <c r="S64" i="5"/>
  <c r="O64" i="5"/>
  <c r="K64" i="5"/>
  <c r="G64" i="5"/>
  <c r="AE47" i="5"/>
  <c r="AA47" i="5"/>
  <c r="W47" i="5"/>
  <c r="S47" i="5"/>
  <c r="O47" i="5"/>
  <c r="K47" i="5"/>
  <c r="G47" i="5"/>
  <c r="AE5" i="5"/>
  <c r="AA5" i="5"/>
  <c r="W5" i="5"/>
  <c r="S5" i="5"/>
  <c r="O5" i="5"/>
  <c r="K5" i="5"/>
  <c r="G5" i="5"/>
  <c r="AE46" i="5"/>
  <c r="AA46" i="5"/>
  <c r="W46" i="5"/>
  <c r="S46" i="5"/>
  <c r="O46" i="5"/>
  <c r="K46" i="5"/>
  <c r="G46" i="5"/>
  <c r="AE45" i="5"/>
  <c r="AA45" i="5"/>
  <c r="W45" i="5"/>
  <c r="S45" i="5"/>
  <c r="O45" i="5"/>
  <c r="K45" i="5"/>
  <c r="G45" i="5"/>
  <c r="AE44" i="5"/>
  <c r="AA44" i="5"/>
  <c r="W44" i="5"/>
  <c r="S44" i="5"/>
  <c r="O44" i="5"/>
  <c r="K44" i="5"/>
  <c r="G44" i="5"/>
  <c r="AE43" i="5"/>
  <c r="AA43" i="5"/>
  <c r="S43" i="5"/>
  <c r="O43" i="5"/>
  <c r="K43" i="5"/>
  <c r="G43" i="5"/>
  <c r="AE42" i="5"/>
  <c r="AA42" i="5"/>
  <c r="W42" i="5"/>
  <c r="S42" i="5"/>
  <c r="O42" i="5"/>
  <c r="K42" i="5"/>
  <c r="G42" i="5"/>
  <c r="AE41" i="5"/>
  <c r="AA41" i="5"/>
  <c r="W41" i="5"/>
  <c r="S41" i="5"/>
  <c r="O41" i="5"/>
  <c r="K41" i="5"/>
  <c r="G41" i="5"/>
  <c r="AE40" i="5"/>
  <c r="AA40" i="5"/>
  <c r="W40" i="5"/>
  <c r="S40" i="5"/>
  <c r="O40" i="5"/>
  <c r="K40" i="5"/>
  <c r="G40" i="5"/>
  <c r="AE63" i="5"/>
  <c r="AA63" i="5"/>
  <c r="W63" i="5"/>
  <c r="S63" i="5"/>
  <c r="O63" i="5"/>
  <c r="K63" i="5"/>
  <c r="G63" i="5"/>
  <c r="AE62" i="5"/>
  <c r="AA62" i="5"/>
  <c r="S62" i="5"/>
  <c r="O62" i="5"/>
  <c r="K62" i="5"/>
  <c r="G62" i="5"/>
  <c r="AG61" i="5"/>
  <c r="AH61" i="5" s="1"/>
  <c r="AE61" i="5"/>
  <c r="AA61" i="5"/>
  <c r="W61" i="5"/>
  <c r="S61" i="5"/>
  <c r="O61" i="5"/>
  <c r="K61" i="5"/>
  <c r="G61" i="5"/>
  <c r="AE39" i="5"/>
  <c r="AA39" i="5"/>
  <c r="W39" i="5"/>
  <c r="S39" i="5"/>
  <c r="O39" i="5"/>
  <c r="K39" i="5"/>
  <c r="G39" i="5"/>
  <c r="AE38" i="5"/>
  <c r="AA38" i="5"/>
  <c r="W38" i="5"/>
  <c r="S38" i="5"/>
  <c r="O38" i="5"/>
  <c r="K38" i="5"/>
  <c r="G38" i="5"/>
  <c r="AE4" i="5"/>
  <c r="AA4" i="5"/>
  <c r="W4" i="5"/>
  <c r="S4" i="5"/>
  <c r="O4" i="5"/>
  <c r="K4" i="5"/>
  <c r="G4" i="5"/>
  <c r="AE37" i="5"/>
  <c r="AA37" i="5"/>
  <c r="W37" i="5"/>
  <c r="S37" i="5"/>
  <c r="O37" i="5"/>
  <c r="K37" i="5"/>
  <c r="G37" i="5"/>
  <c r="AE36" i="5"/>
  <c r="AA36" i="5"/>
  <c r="W36" i="5"/>
  <c r="S36" i="5"/>
  <c r="O36" i="5"/>
  <c r="K36" i="5"/>
  <c r="G36" i="5"/>
  <c r="AE60" i="5"/>
  <c r="AA60" i="5"/>
  <c r="W60" i="5"/>
  <c r="S60" i="5"/>
  <c r="O60" i="5"/>
  <c r="K60" i="5"/>
  <c r="G60" i="5"/>
  <c r="AG35" i="5"/>
  <c r="AH35" i="5" s="1"/>
  <c r="AE35" i="5"/>
  <c r="AA35" i="5"/>
  <c r="W35" i="5"/>
  <c r="S35" i="5"/>
  <c r="O35" i="5"/>
  <c r="K35" i="5"/>
  <c r="G35" i="5"/>
  <c r="AE34" i="5"/>
  <c r="AA34" i="5"/>
  <c r="W34" i="5"/>
  <c r="S34" i="5"/>
  <c r="O34" i="5"/>
  <c r="K34" i="5"/>
  <c r="G34" i="5"/>
  <c r="AE33" i="5"/>
  <c r="AA33" i="5"/>
  <c r="W33" i="5"/>
  <c r="S33" i="5"/>
  <c r="O33" i="5"/>
  <c r="K33" i="5"/>
  <c r="G33" i="5"/>
  <c r="AE32" i="5"/>
  <c r="AA32" i="5"/>
  <c r="W32" i="5"/>
  <c r="S32" i="5"/>
  <c r="O32" i="5"/>
  <c r="G32" i="5"/>
  <c r="AE31" i="5"/>
  <c r="AA31" i="5"/>
  <c r="W31" i="5"/>
  <c r="S31" i="5"/>
  <c r="O31" i="5"/>
  <c r="K31" i="5"/>
  <c r="G31" i="5"/>
  <c r="AE30" i="5"/>
  <c r="AA30" i="5"/>
  <c r="W30" i="5"/>
  <c r="S30" i="5"/>
  <c r="O30" i="5"/>
  <c r="K30" i="5"/>
  <c r="G30" i="5"/>
  <c r="AE70" i="5"/>
  <c r="AA70" i="5"/>
  <c r="W70" i="5"/>
  <c r="S70" i="5"/>
  <c r="O70" i="5"/>
  <c r="K70" i="5"/>
  <c r="G70" i="5"/>
  <c r="AE29" i="5"/>
  <c r="AA29" i="5"/>
  <c r="W29" i="5"/>
  <c r="S29" i="5"/>
  <c r="O29" i="5"/>
  <c r="K29" i="5"/>
  <c r="G29" i="5"/>
  <c r="AE69" i="5"/>
  <c r="AA69" i="5"/>
  <c r="W69" i="5"/>
  <c r="S69" i="5"/>
  <c r="O69" i="5"/>
  <c r="K69" i="5"/>
  <c r="G69" i="5"/>
  <c r="AE28" i="5"/>
  <c r="AA28" i="5"/>
  <c r="W28" i="5"/>
  <c r="S28" i="5"/>
  <c r="O28" i="5"/>
  <c r="K28" i="5"/>
  <c r="G28" i="5"/>
  <c r="AE27" i="5"/>
  <c r="AA27" i="5"/>
  <c r="W27" i="5"/>
  <c r="S27" i="5"/>
  <c r="O27" i="5"/>
  <c r="K27" i="5"/>
  <c r="G27" i="5"/>
  <c r="AE26" i="5"/>
  <c r="AA26" i="5"/>
  <c r="W26" i="5"/>
  <c r="S26" i="5"/>
  <c r="O26" i="5"/>
  <c r="K26" i="5"/>
  <c r="G26" i="5"/>
  <c r="AE25" i="5"/>
  <c r="AA25" i="5"/>
  <c r="W25" i="5"/>
  <c r="S25" i="5"/>
  <c r="O25" i="5"/>
  <c r="K25" i="5"/>
  <c r="G25" i="5"/>
  <c r="AE24" i="5"/>
  <c r="AA24" i="5"/>
  <c r="W24" i="5"/>
  <c r="S24" i="5"/>
  <c r="O24" i="5"/>
  <c r="K24" i="5"/>
  <c r="G24" i="5"/>
  <c r="AE23" i="5"/>
  <c r="AA23" i="5"/>
  <c r="W23" i="5"/>
  <c r="S23" i="5"/>
  <c r="O23" i="5"/>
  <c r="K23" i="5"/>
  <c r="G23" i="5"/>
  <c r="AE22" i="5"/>
  <c r="AA22" i="5"/>
  <c r="W22" i="5"/>
  <c r="S22" i="5"/>
  <c r="O22" i="5"/>
  <c r="K22" i="5"/>
  <c r="G22" i="5"/>
  <c r="AE21" i="5"/>
  <c r="AA21" i="5"/>
  <c r="W21" i="5"/>
  <c r="S21" i="5"/>
  <c r="O21" i="5"/>
  <c r="K21" i="5"/>
  <c r="G21" i="5"/>
  <c r="AE59" i="5"/>
  <c r="AA59" i="5"/>
  <c r="W59" i="5"/>
  <c r="S59" i="5"/>
  <c r="O59" i="5"/>
  <c r="K59" i="5"/>
  <c r="G59" i="5"/>
  <c r="AE20" i="5"/>
  <c r="AA20" i="5"/>
  <c r="W20" i="5"/>
  <c r="S20" i="5"/>
  <c r="O20" i="5"/>
  <c r="K20" i="5"/>
  <c r="G20" i="5"/>
  <c r="AE19" i="5"/>
  <c r="AA19" i="5"/>
  <c r="S19" i="5"/>
  <c r="O19" i="5"/>
  <c r="K19" i="5"/>
  <c r="G19" i="5"/>
  <c r="AE58" i="5"/>
  <c r="AA58" i="5"/>
  <c r="W58" i="5"/>
  <c r="S58" i="5"/>
  <c r="O58" i="5"/>
  <c r="K58" i="5"/>
  <c r="G58" i="5"/>
  <c r="AG18" i="5"/>
  <c r="AH18" i="5" s="1"/>
  <c r="AE18" i="5"/>
  <c r="AA18" i="5"/>
  <c r="W18" i="5"/>
  <c r="S18" i="5"/>
  <c r="O18" i="5"/>
  <c r="K18" i="5"/>
  <c r="G18" i="5"/>
  <c r="AG68" i="5"/>
  <c r="AH68" i="5" s="1"/>
  <c r="AE68" i="5"/>
  <c r="AA68" i="5"/>
  <c r="W68" i="5"/>
  <c r="S68" i="5"/>
  <c r="O68" i="5"/>
  <c r="K68" i="5"/>
  <c r="G68" i="5"/>
  <c r="AE67" i="5"/>
  <c r="AA67" i="5"/>
  <c r="W67" i="5"/>
  <c r="S67" i="5"/>
  <c r="O67" i="5"/>
  <c r="K67" i="5"/>
  <c r="G67" i="5"/>
  <c r="AE17" i="5"/>
  <c r="AA17" i="5"/>
  <c r="W17" i="5"/>
  <c r="S17" i="5"/>
  <c r="O17" i="5"/>
  <c r="G17" i="5"/>
  <c r="AE57" i="5"/>
  <c r="AA57" i="5"/>
  <c r="S57" i="5"/>
  <c r="O57" i="5"/>
  <c r="K57" i="5"/>
  <c r="G57" i="5"/>
  <c r="AE16" i="5"/>
  <c r="AA16" i="5"/>
  <c r="S16" i="5"/>
  <c r="O16" i="5"/>
  <c r="K16" i="5"/>
  <c r="G16" i="5"/>
  <c r="AE15" i="5"/>
  <c r="AA15" i="5"/>
  <c r="S15" i="5"/>
  <c r="O15" i="5"/>
  <c r="K15" i="5"/>
  <c r="G15" i="5"/>
  <c r="AE14" i="5"/>
  <c r="AA14" i="5"/>
  <c r="S14" i="5"/>
  <c r="O14" i="5"/>
  <c r="K14" i="5"/>
  <c r="G14" i="5"/>
  <c r="AE56" i="5"/>
  <c r="AA56" i="5"/>
  <c r="S56" i="5"/>
  <c r="O56" i="5"/>
  <c r="K56" i="5"/>
  <c r="G56" i="5"/>
  <c r="AE55" i="5"/>
  <c r="AA55" i="5"/>
  <c r="S55" i="5"/>
  <c r="O55" i="5"/>
  <c r="K55" i="5"/>
  <c r="G55" i="5"/>
  <c r="AE13" i="5"/>
  <c r="AA13" i="5"/>
  <c r="S13" i="5"/>
  <c r="O13" i="5"/>
  <c r="K13" i="5"/>
  <c r="G13" i="5"/>
  <c r="AE3" i="5"/>
  <c r="AA3" i="5"/>
  <c r="W3" i="5"/>
  <c r="S3" i="5"/>
  <c r="O3" i="5"/>
  <c r="K3" i="5"/>
  <c r="G3" i="5"/>
  <c r="AE12" i="5"/>
  <c r="AA12" i="5"/>
  <c r="S12" i="5"/>
  <c r="O12" i="5"/>
  <c r="K12" i="5"/>
  <c r="G12" i="5"/>
  <c r="AE11" i="5"/>
  <c r="AA11" i="5"/>
  <c r="S11" i="5"/>
  <c r="O11" i="5"/>
  <c r="K11" i="5"/>
  <c r="G11" i="5"/>
  <c r="AE10" i="5"/>
  <c r="AA10" i="5"/>
  <c r="W10" i="5"/>
  <c r="S10" i="5"/>
  <c r="O10" i="5"/>
  <c r="K10" i="5"/>
  <c r="G10" i="5"/>
  <c r="AG2" i="5"/>
  <c r="AH2" i="5" s="1"/>
  <c r="AE2" i="5"/>
  <c r="AA2" i="5"/>
  <c r="W2" i="5"/>
  <c r="S2" i="5"/>
  <c r="O2" i="5"/>
  <c r="K2" i="5"/>
  <c r="G2" i="5"/>
  <c r="AE9" i="5"/>
  <c r="AA9" i="5"/>
  <c r="W9" i="5"/>
  <c r="S9" i="5"/>
  <c r="O9" i="5"/>
  <c r="K9" i="5"/>
  <c r="G9" i="5"/>
  <c r="AE8" i="5"/>
  <c r="AA8" i="5"/>
  <c r="W8" i="5"/>
  <c r="S8" i="5"/>
  <c r="O8" i="5"/>
  <c r="K8" i="5"/>
  <c r="G8" i="5"/>
  <c r="AE7" i="5"/>
  <c r="AA7" i="5"/>
  <c r="W7" i="5"/>
  <c r="S7" i="5"/>
  <c r="O7" i="5"/>
  <c r="K7" i="5"/>
  <c r="G7" i="5"/>
  <c r="AE6" i="5"/>
  <c r="AA6" i="5"/>
  <c r="W6" i="5"/>
  <c r="S6" i="5"/>
  <c r="O6" i="5"/>
  <c r="G6" i="5"/>
  <c r="G13" i="1"/>
  <c r="AF13" i="1" s="1"/>
  <c r="AI13" i="1" s="1"/>
  <c r="K13" i="1"/>
  <c r="O13" i="1"/>
  <c r="S13" i="1"/>
  <c r="W13" i="1"/>
  <c r="AG13" i="1"/>
  <c r="AH13" i="1"/>
  <c r="G14" i="1"/>
  <c r="AF14" i="1" s="1"/>
  <c r="K14" i="1"/>
  <c r="O14" i="1"/>
  <c r="S14" i="1"/>
  <c r="W14" i="1"/>
  <c r="AG14" i="1"/>
  <c r="AH14" i="1" s="1"/>
  <c r="AG15" i="1"/>
  <c r="AH15" i="1" s="1"/>
  <c r="K15" i="1"/>
  <c r="O15" i="1"/>
  <c r="S15" i="1"/>
  <c r="W15" i="1"/>
  <c r="G20" i="1"/>
  <c r="AF20" i="1" s="1"/>
  <c r="K20" i="1"/>
  <c r="O20" i="1"/>
  <c r="S20" i="1"/>
  <c r="W20" i="1"/>
  <c r="AG20" i="1"/>
  <c r="AH20" i="1" s="1"/>
  <c r="G21" i="1"/>
  <c r="K21" i="1"/>
  <c r="G22" i="1"/>
  <c r="K22" i="1"/>
  <c r="G23" i="1"/>
  <c r="K23" i="1"/>
  <c r="AF23" i="1" s="1"/>
  <c r="AI23" i="1" s="1"/>
  <c r="G24" i="1"/>
  <c r="AF24" i="1" s="1"/>
  <c r="K24" i="1"/>
  <c r="AG3" i="1"/>
  <c r="AH3" i="1" s="1"/>
  <c r="AG4" i="1"/>
  <c r="AH4" i="1" s="1"/>
  <c r="AG5" i="1"/>
  <c r="AH5" i="1"/>
  <c r="AG6" i="1"/>
  <c r="AH6" i="1"/>
  <c r="AG7" i="1"/>
  <c r="AH7" i="1"/>
  <c r="AG8" i="1"/>
  <c r="AH8" i="1" s="1"/>
  <c r="AG9" i="1"/>
  <c r="AH9" i="1" s="1"/>
  <c r="AG10" i="1"/>
  <c r="AH10" i="1" s="1"/>
  <c r="AG11" i="1"/>
  <c r="AH11" i="1"/>
  <c r="AG12" i="1"/>
  <c r="AH12" i="1"/>
  <c r="AG21" i="1"/>
  <c r="AH21" i="1"/>
  <c r="AG22" i="1"/>
  <c r="AH22" i="1" s="1"/>
  <c r="AG23" i="1"/>
  <c r="AH23" i="1" s="1"/>
  <c r="AG24" i="1"/>
  <c r="AH24" i="1" s="1"/>
  <c r="AG25" i="1"/>
  <c r="AH25" i="1"/>
  <c r="AG26" i="1"/>
  <c r="AH26" i="1"/>
  <c r="AG27" i="1"/>
  <c r="AH27" i="1"/>
  <c r="AG28" i="1"/>
  <c r="AH28" i="1" s="1"/>
  <c r="AG29" i="1"/>
  <c r="AH29" i="1" s="1"/>
  <c r="AG30" i="1"/>
  <c r="AH30" i="1" s="1"/>
  <c r="AG31" i="1"/>
  <c r="AH31" i="1"/>
  <c r="AG32" i="1"/>
  <c r="AH32" i="1"/>
  <c r="AG33" i="1"/>
  <c r="AH33" i="1"/>
  <c r="AG34" i="1"/>
  <c r="AH34" i="1" s="1"/>
  <c r="AG35" i="1"/>
  <c r="AH35" i="1" s="1"/>
  <c r="AG36" i="1"/>
  <c r="AH36" i="1" s="1"/>
  <c r="AG37" i="1"/>
  <c r="AH37" i="1"/>
  <c r="AG38" i="1"/>
  <c r="AH38" i="1"/>
  <c r="AG39" i="1"/>
  <c r="AH39" i="1"/>
  <c r="AG40" i="1"/>
  <c r="AH40" i="1" s="1"/>
  <c r="AG41" i="1"/>
  <c r="AH41" i="1" s="1"/>
  <c r="AG42" i="1"/>
  <c r="AH42" i="1" s="1"/>
  <c r="AG43" i="1"/>
  <c r="AH43" i="1"/>
  <c r="AG44" i="1"/>
  <c r="AH44" i="1"/>
  <c r="AG45" i="1"/>
  <c r="AH45" i="1"/>
  <c r="AG46" i="1"/>
  <c r="AH46" i="1" s="1"/>
  <c r="AG47" i="1"/>
  <c r="AH47" i="1" s="1"/>
  <c r="AG48" i="1"/>
  <c r="AH48" i="1" s="1"/>
  <c r="AG49" i="1"/>
  <c r="AH49" i="1"/>
  <c r="AG50" i="1"/>
  <c r="AH50" i="1"/>
  <c r="AG51" i="1"/>
  <c r="AH51" i="1"/>
  <c r="AG52" i="1"/>
  <c r="AH52" i="1" s="1"/>
  <c r="AG53" i="1"/>
  <c r="AH53" i="1" s="1"/>
  <c r="AG54" i="1"/>
  <c r="AH54" i="1" s="1"/>
  <c r="AG55" i="1"/>
  <c r="AH55" i="1"/>
  <c r="AG56" i="1"/>
  <c r="AH56" i="1"/>
  <c r="AG57" i="1"/>
  <c r="AH57" i="1"/>
  <c r="AG58" i="1"/>
  <c r="AH58" i="1" s="1"/>
  <c r="AG59" i="1"/>
  <c r="AH59" i="1" s="1"/>
  <c r="AG60" i="1"/>
  <c r="AH60" i="1" s="1"/>
  <c r="AG61" i="1"/>
  <c r="AH61" i="1"/>
  <c r="AG62" i="1"/>
  <c r="AH62" i="1"/>
  <c r="AG63" i="1"/>
  <c r="AH63" i="1"/>
  <c r="AG64" i="1"/>
  <c r="AH64" i="1" s="1"/>
  <c r="AG65" i="1"/>
  <c r="AH65" i="1" s="1"/>
  <c r="AG66" i="1"/>
  <c r="AH66" i="1" s="1"/>
  <c r="AG67" i="1"/>
  <c r="AH67" i="1"/>
  <c r="AG68" i="1"/>
  <c r="AH68" i="1"/>
  <c r="AG69" i="1"/>
  <c r="AH69" i="1"/>
  <c r="AG70" i="1"/>
  <c r="AH70" i="1" s="1"/>
  <c r="AG71" i="1"/>
  <c r="AH71" i="1" s="1"/>
  <c r="AG72" i="1"/>
  <c r="AH72" i="1" s="1"/>
  <c r="AG73" i="1"/>
  <c r="AH73" i="1"/>
  <c r="AG74" i="1"/>
  <c r="AH74" i="1"/>
  <c r="AG75" i="1"/>
  <c r="AH75" i="1"/>
  <c r="AG76" i="1"/>
  <c r="AH76" i="1" s="1"/>
  <c r="AG77" i="1"/>
  <c r="AH77" i="1" s="1"/>
  <c r="AG78" i="1"/>
  <c r="AH78" i="1" s="1"/>
  <c r="AG79" i="1"/>
  <c r="AH79" i="1"/>
  <c r="AG80" i="1"/>
  <c r="AH80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F32" i="1" s="1"/>
  <c r="AI32" i="1" s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F44" i="1" s="1"/>
  <c r="AI44" i="1" s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F56" i="1" s="1"/>
  <c r="AI56" i="1" s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F68" i="1" s="1"/>
  <c r="AI68" i="1" s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F80" i="1" s="1"/>
  <c r="AI80" i="1" s="1"/>
  <c r="AA3" i="1"/>
  <c r="AA4" i="1"/>
  <c r="AA5" i="1"/>
  <c r="AA6" i="1"/>
  <c r="AA7" i="1"/>
  <c r="AA8" i="1"/>
  <c r="AA9" i="1"/>
  <c r="AA10" i="1"/>
  <c r="AA11" i="1"/>
  <c r="AA12" i="1"/>
  <c r="G12" i="1"/>
  <c r="K12" i="1"/>
  <c r="AF12" i="1" s="1"/>
  <c r="AI12" i="1" s="1"/>
  <c r="O12" i="1"/>
  <c r="S12" i="1"/>
  <c r="W12" i="1"/>
  <c r="AA13" i="1"/>
  <c r="AA14" i="1"/>
  <c r="AA15" i="1"/>
  <c r="AA20" i="1"/>
  <c r="AA21" i="1"/>
  <c r="AA22" i="1"/>
  <c r="AA23" i="1"/>
  <c r="AA24" i="1"/>
  <c r="AA25" i="1"/>
  <c r="AA26" i="1"/>
  <c r="AA27" i="1"/>
  <c r="AA28" i="1"/>
  <c r="AF28" i="1" s="1"/>
  <c r="AA29" i="1"/>
  <c r="AA30" i="1"/>
  <c r="AA31" i="1"/>
  <c r="AA32" i="1"/>
  <c r="AA33" i="1"/>
  <c r="AF33" i="1" s="1"/>
  <c r="AI33" i="1" s="1"/>
  <c r="AA34" i="1"/>
  <c r="AA35" i="1"/>
  <c r="AA36" i="1"/>
  <c r="AA37" i="1"/>
  <c r="AA38" i="1"/>
  <c r="AA39" i="1"/>
  <c r="AA40" i="1"/>
  <c r="AF40" i="1" s="1"/>
  <c r="AI40" i="1" s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F52" i="1" s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F64" i="1" s="1"/>
  <c r="AI64" i="1" s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F76" i="1" s="1"/>
  <c r="AA77" i="1"/>
  <c r="AA78" i="1"/>
  <c r="AA79" i="1"/>
  <c r="AA80" i="1"/>
  <c r="W3" i="1"/>
  <c r="W4" i="1"/>
  <c r="W5" i="1"/>
  <c r="W6" i="1"/>
  <c r="W7" i="1"/>
  <c r="W8" i="1"/>
  <c r="W9" i="1"/>
  <c r="W10" i="1"/>
  <c r="W11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S3" i="1"/>
  <c r="S4" i="1"/>
  <c r="S5" i="1"/>
  <c r="S6" i="1"/>
  <c r="S7" i="1"/>
  <c r="S8" i="1"/>
  <c r="S9" i="1"/>
  <c r="S10" i="1"/>
  <c r="S11" i="1"/>
  <c r="S21" i="1"/>
  <c r="AF21" i="1" s="1"/>
  <c r="AI21" i="1" s="1"/>
  <c r="S22" i="1"/>
  <c r="AF22" i="1" s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O3" i="1"/>
  <c r="AF3" i="1" s="1"/>
  <c r="AI3" i="1" s="1"/>
  <c r="O4" i="1"/>
  <c r="O5" i="1"/>
  <c r="O6" i="1"/>
  <c r="O7" i="1"/>
  <c r="O8" i="1"/>
  <c r="O9" i="1"/>
  <c r="O10" i="1"/>
  <c r="O11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K3" i="1"/>
  <c r="K4" i="1"/>
  <c r="K5" i="1"/>
  <c r="K6" i="1"/>
  <c r="K7" i="1"/>
  <c r="K8" i="1"/>
  <c r="K9" i="1"/>
  <c r="K10" i="1"/>
  <c r="K11" i="1"/>
  <c r="AF11" i="1" s="1"/>
  <c r="AI11" i="1" s="1"/>
  <c r="K25" i="1"/>
  <c r="K26" i="1"/>
  <c r="K27" i="1"/>
  <c r="K28" i="1"/>
  <c r="K29" i="1"/>
  <c r="K30" i="1"/>
  <c r="K31" i="1"/>
  <c r="K32" i="1"/>
  <c r="K33" i="1"/>
  <c r="K34" i="1"/>
  <c r="K35" i="1"/>
  <c r="K36" i="1"/>
  <c r="AF36" i="1" s="1"/>
  <c r="AI36" i="1" s="1"/>
  <c r="K37" i="1"/>
  <c r="K38" i="1"/>
  <c r="K39" i="1"/>
  <c r="K40" i="1"/>
  <c r="K41" i="1"/>
  <c r="K42" i="1"/>
  <c r="K43" i="1"/>
  <c r="K44" i="1"/>
  <c r="K45" i="1"/>
  <c r="K46" i="1"/>
  <c r="K47" i="1"/>
  <c r="K48" i="1"/>
  <c r="AF48" i="1" s="1"/>
  <c r="AI48" i="1" s="1"/>
  <c r="K49" i="1"/>
  <c r="K50" i="1"/>
  <c r="K51" i="1"/>
  <c r="K52" i="1"/>
  <c r="K53" i="1"/>
  <c r="K54" i="1"/>
  <c r="K55" i="1"/>
  <c r="K56" i="1"/>
  <c r="K57" i="1"/>
  <c r="K58" i="1"/>
  <c r="K59" i="1"/>
  <c r="K60" i="1"/>
  <c r="AF60" i="1" s="1"/>
  <c r="AI60" i="1" s="1"/>
  <c r="K61" i="1"/>
  <c r="K62" i="1"/>
  <c r="K63" i="1"/>
  <c r="K64" i="1"/>
  <c r="K65" i="1"/>
  <c r="K66" i="1"/>
  <c r="K67" i="1"/>
  <c r="K68" i="1"/>
  <c r="K69" i="1"/>
  <c r="K70" i="1"/>
  <c r="K71" i="1"/>
  <c r="K72" i="1"/>
  <c r="AF72" i="1" s="1"/>
  <c r="AI72" i="1" s="1"/>
  <c r="K73" i="1"/>
  <c r="K74" i="1"/>
  <c r="K75" i="1"/>
  <c r="K76" i="1"/>
  <c r="K77" i="1"/>
  <c r="K78" i="1"/>
  <c r="K79" i="1"/>
  <c r="K80" i="1"/>
  <c r="G3" i="1"/>
  <c r="G4" i="1"/>
  <c r="AF4" i="1"/>
  <c r="G5" i="1"/>
  <c r="AF5" i="1" s="1"/>
  <c r="AI5" i="1" s="1"/>
  <c r="G6" i="1"/>
  <c r="AF6" i="1" s="1"/>
  <c r="AI6" i="1" s="1"/>
  <c r="G7" i="1"/>
  <c r="AF7" i="1"/>
  <c r="AI7" i="1" s="1"/>
  <c r="G8" i="1"/>
  <c r="AF8" i="1"/>
  <c r="AI8" i="1" s="1"/>
  <c r="G9" i="1"/>
  <c r="AF9" i="1" s="1"/>
  <c r="G10" i="1"/>
  <c r="AF10" i="1" s="1"/>
  <c r="AI10" i="1" s="1"/>
  <c r="G11" i="1"/>
  <c r="G25" i="1"/>
  <c r="AF25" i="1"/>
  <c r="AI25" i="1" s="1"/>
  <c r="G26" i="1"/>
  <c r="AF26" i="1" s="1"/>
  <c r="AI26" i="1" s="1"/>
  <c r="G27" i="1"/>
  <c r="AF27" i="1" s="1"/>
  <c r="AI27" i="1" s="1"/>
  <c r="G28" i="1"/>
  <c r="G29" i="1"/>
  <c r="AF29" i="1"/>
  <c r="G30" i="1"/>
  <c r="AF30" i="1" s="1"/>
  <c r="AI30" i="1" s="1"/>
  <c r="G31" i="1"/>
  <c r="AF31" i="1" s="1"/>
  <c r="AI31" i="1" s="1"/>
  <c r="G32" i="1"/>
  <c r="G33" i="1"/>
  <c r="G34" i="1"/>
  <c r="AF34" i="1" s="1"/>
  <c r="AI34" i="1" s="1"/>
  <c r="G35" i="1"/>
  <c r="AF35" i="1" s="1"/>
  <c r="AI35" i="1" s="1"/>
  <c r="G36" i="1"/>
  <c r="G37" i="1"/>
  <c r="AF37" i="1"/>
  <c r="AI37" i="1" s="1"/>
  <c r="G38" i="1"/>
  <c r="AF38" i="1" s="1"/>
  <c r="AI38" i="1" s="1"/>
  <c r="G39" i="1"/>
  <c r="AF39" i="1" s="1"/>
  <c r="AI39" i="1" s="1"/>
  <c r="G40" i="1"/>
  <c r="G41" i="1"/>
  <c r="AF41" i="1"/>
  <c r="G42" i="1"/>
  <c r="AF42" i="1" s="1"/>
  <c r="AI42" i="1" s="1"/>
  <c r="G43" i="1"/>
  <c r="AF43" i="1" s="1"/>
  <c r="AI43" i="1" s="1"/>
  <c r="G44" i="1"/>
  <c r="G45" i="1"/>
  <c r="AF45" i="1"/>
  <c r="AI45" i="1" s="1"/>
  <c r="G46" i="1"/>
  <c r="AF46" i="1" s="1"/>
  <c r="G47" i="1"/>
  <c r="AF47" i="1" s="1"/>
  <c r="AI47" i="1" s="1"/>
  <c r="G48" i="1"/>
  <c r="G49" i="1"/>
  <c r="AF49" i="1"/>
  <c r="AI49" i="1" s="1"/>
  <c r="G50" i="1"/>
  <c r="AF50" i="1" s="1"/>
  <c r="AI50" i="1" s="1"/>
  <c r="G51" i="1"/>
  <c r="AF51" i="1" s="1"/>
  <c r="AI51" i="1" s="1"/>
  <c r="G52" i="1"/>
  <c r="G53" i="1"/>
  <c r="AF53" i="1"/>
  <c r="G54" i="1"/>
  <c r="AF54" i="1" s="1"/>
  <c r="AI54" i="1" s="1"/>
  <c r="G55" i="1"/>
  <c r="AF55" i="1" s="1"/>
  <c r="AI55" i="1" s="1"/>
  <c r="G56" i="1"/>
  <c r="G57" i="1"/>
  <c r="AF57" i="1"/>
  <c r="AI57" i="1" s="1"/>
  <c r="G58" i="1"/>
  <c r="AF58" i="1" s="1"/>
  <c r="AI58" i="1" s="1"/>
  <c r="G59" i="1"/>
  <c r="AF59" i="1" s="1"/>
  <c r="G60" i="1"/>
  <c r="G61" i="1"/>
  <c r="AF61" i="1"/>
  <c r="AI61" i="1" s="1"/>
  <c r="G62" i="1"/>
  <c r="AF62" i="1" s="1"/>
  <c r="AI62" i="1" s="1"/>
  <c r="G63" i="1"/>
  <c r="AF63" i="1" s="1"/>
  <c r="AI63" i="1" s="1"/>
  <c r="G64" i="1"/>
  <c r="G65" i="1"/>
  <c r="AF65" i="1"/>
  <c r="G66" i="1"/>
  <c r="AF66" i="1" s="1"/>
  <c r="AI66" i="1" s="1"/>
  <c r="G67" i="1"/>
  <c r="AF67" i="1" s="1"/>
  <c r="AI67" i="1" s="1"/>
  <c r="G68" i="1"/>
  <c r="G69" i="1"/>
  <c r="AF69" i="1"/>
  <c r="AI69" i="1" s="1"/>
  <c r="G70" i="1"/>
  <c r="AF70" i="1" s="1"/>
  <c r="G71" i="1"/>
  <c r="AF71" i="1" s="1"/>
  <c r="AI71" i="1" s="1"/>
  <c r="G72" i="1"/>
  <c r="G73" i="1"/>
  <c r="AF73" i="1"/>
  <c r="AI73" i="1" s="1"/>
  <c r="G74" i="1"/>
  <c r="AF74" i="1" s="1"/>
  <c r="AI74" i="1" s="1"/>
  <c r="G75" i="1"/>
  <c r="AF75" i="1" s="1"/>
  <c r="AI75" i="1" s="1"/>
  <c r="G76" i="1"/>
  <c r="G77" i="1"/>
  <c r="AF77" i="1"/>
  <c r="G78" i="1"/>
  <c r="AF78" i="1" s="1"/>
  <c r="AI78" i="1" s="1"/>
  <c r="G79" i="1"/>
  <c r="AF79" i="1" s="1"/>
  <c r="AI79" i="1" s="1"/>
  <c r="G80" i="1"/>
  <c r="G2" i="1"/>
  <c r="AF2" i="1" s="1"/>
  <c r="AG2" i="1"/>
  <c r="AH2" i="1" s="1"/>
  <c r="AE2" i="1"/>
  <c r="AA2" i="1"/>
  <c r="W2" i="1"/>
  <c r="S2" i="1"/>
  <c r="O2" i="1"/>
  <c r="K2" i="1"/>
  <c r="AI76" i="1" l="1"/>
  <c r="AI28" i="1"/>
  <c r="AI22" i="1"/>
  <c r="AI2" i="3"/>
  <c r="AI53" i="1"/>
  <c r="AI2" i="1"/>
  <c r="AI9" i="1"/>
  <c r="AI14" i="1"/>
  <c r="AI52" i="1"/>
  <c r="AI70" i="1"/>
  <c r="AI41" i="1"/>
  <c r="AI24" i="1"/>
  <c r="AI20" i="1"/>
  <c r="AI59" i="1"/>
  <c r="AI29" i="1"/>
  <c r="AI77" i="1"/>
  <c r="AI65" i="1"/>
  <c r="AI46" i="1"/>
  <c r="AI4" i="1"/>
  <c r="AI4" i="3"/>
  <c r="AF18" i="6"/>
  <c r="AI18" i="6" s="1"/>
  <c r="AF2" i="7"/>
  <c r="AI2" i="7" s="1"/>
  <c r="AG10" i="6"/>
  <c r="AH10" i="6" s="1"/>
  <c r="AI10" i="6" s="1"/>
  <c r="AG18" i="6"/>
  <c r="AH18" i="6" s="1"/>
  <c r="AG18" i="7"/>
  <c r="AH18" i="7" s="1"/>
  <c r="AG2" i="7"/>
  <c r="AH2" i="7" s="1"/>
  <c r="AF4" i="8"/>
  <c r="AG3" i="8"/>
  <c r="AH3" i="8" s="1"/>
  <c r="AI3" i="8" s="1"/>
  <c r="AF29" i="6"/>
  <c r="AI29" i="6" s="1"/>
  <c r="AF17" i="6"/>
  <c r="AF18" i="7"/>
  <c r="AF3" i="7"/>
  <c r="AI3" i="7" s="1"/>
  <c r="AG4" i="8"/>
  <c r="AH4" i="8" s="1"/>
  <c r="AG17" i="6"/>
  <c r="AH17" i="6" s="1"/>
  <c r="AF22" i="6"/>
  <c r="AF7" i="7"/>
  <c r="AI7" i="7" s="1"/>
  <c r="AG3" i="7"/>
  <c r="AH3" i="7" s="1"/>
  <c r="AG22" i="6"/>
  <c r="AH22" i="6" s="1"/>
  <c r="AF6" i="8"/>
  <c r="AF16" i="6"/>
  <c r="AF26" i="6"/>
  <c r="AF15" i="7"/>
  <c r="AI15" i="7" s="1"/>
  <c r="AG6" i="8"/>
  <c r="AH6" i="8" s="1"/>
  <c r="AG16" i="6"/>
  <c r="AH16" i="6" s="1"/>
  <c r="AF21" i="6"/>
  <c r="AI21" i="6" s="1"/>
  <c r="AG26" i="6"/>
  <c r="AH26" i="6" s="1"/>
  <c r="AF4" i="7"/>
  <c r="AG15" i="7"/>
  <c r="AH15" i="7" s="1"/>
  <c r="AF5" i="8"/>
  <c r="AF20" i="6"/>
  <c r="AG21" i="6"/>
  <c r="AH21" i="6" s="1"/>
  <c r="AF6" i="7"/>
  <c r="AI6" i="7" s="1"/>
  <c r="AG4" i="7"/>
  <c r="AH4" i="7" s="1"/>
  <c r="AF14" i="7"/>
  <c r="AI14" i="7" s="1"/>
  <c r="AG5" i="8"/>
  <c r="AH5" i="8" s="1"/>
  <c r="AF14" i="6"/>
  <c r="AI14" i="6" s="1"/>
  <c r="AG20" i="6"/>
  <c r="AH20" i="6" s="1"/>
  <c r="AF16" i="7"/>
  <c r="AI16" i="7" s="1"/>
  <c r="AG6" i="7"/>
  <c r="AH6" i="7" s="1"/>
  <c r="AF12" i="7"/>
  <c r="AI12" i="7" s="1"/>
  <c r="AF9" i="7"/>
  <c r="AI9" i="7" s="1"/>
  <c r="AF31" i="6"/>
  <c r="AI31" i="6" s="1"/>
  <c r="AF11" i="7"/>
  <c r="AI11" i="7" s="1"/>
  <c r="AF10" i="7"/>
  <c r="AI10" i="7" s="1"/>
  <c r="AG17" i="7"/>
  <c r="AH17" i="7" s="1"/>
  <c r="AI17" i="7" s="1"/>
  <c r="AF8" i="7"/>
  <c r="AI8" i="7" s="1"/>
  <c r="AF5" i="7"/>
  <c r="AI5" i="7" s="1"/>
  <c r="AI13" i="7"/>
  <c r="AF2" i="8"/>
  <c r="AI2" i="8" s="1"/>
  <c r="AG39" i="5"/>
  <c r="AH39" i="5" s="1"/>
  <c r="AG9" i="5"/>
  <c r="AH9" i="5" s="1"/>
  <c r="AG13" i="5"/>
  <c r="AH13" i="5" s="1"/>
  <c r="AG16" i="5"/>
  <c r="AH16" i="5" s="1"/>
  <c r="AG27" i="5"/>
  <c r="AH27" i="5" s="1"/>
  <c r="AG22" i="5"/>
  <c r="AH22" i="5" s="1"/>
  <c r="AG37" i="5"/>
  <c r="AH37" i="5" s="1"/>
  <c r="AG6" i="5"/>
  <c r="AH6" i="5" s="1"/>
  <c r="AG47" i="5"/>
  <c r="AH47" i="5" s="1"/>
  <c r="AG50" i="5"/>
  <c r="AH50" i="5" s="1"/>
  <c r="AG7" i="5"/>
  <c r="AH7" i="5" s="1"/>
  <c r="AG58" i="5"/>
  <c r="AH58" i="5" s="1"/>
  <c r="AG29" i="5"/>
  <c r="AH29" i="5" s="1"/>
  <c r="AF70" i="5"/>
  <c r="AI70" i="5" s="1"/>
  <c r="AF12" i="5"/>
  <c r="AG15" i="5"/>
  <c r="AH15" i="5" s="1"/>
  <c r="AG26" i="5"/>
  <c r="AH26" i="5" s="1"/>
  <c r="AG57" i="5"/>
  <c r="AH57" i="5" s="1"/>
  <c r="AG52" i="5"/>
  <c r="AH52" i="5" s="1"/>
  <c r="AG45" i="5"/>
  <c r="AH45" i="5" s="1"/>
  <c r="AG56" i="5"/>
  <c r="AH56" i="5" s="1"/>
  <c r="AG55" i="5"/>
  <c r="AH55" i="5" s="1"/>
  <c r="AF68" i="5"/>
  <c r="AI68" i="5" s="1"/>
  <c r="AG17" i="5"/>
  <c r="AH17" i="5" s="1"/>
  <c r="AF69" i="5"/>
  <c r="AI69" i="5" s="1"/>
  <c r="AF32" i="5"/>
  <c r="AI32" i="5" s="1"/>
  <c r="AG62" i="5"/>
  <c r="AH62" i="5" s="1"/>
  <c r="AG3" i="5"/>
  <c r="AH3" i="5" s="1"/>
  <c r="AG25" i="5"/>
  <c r="AH25" i="5" s="1"/>
  <c r="AF67" i="5"/>
  <c r="AI67" i="5" s="1"/>
  <c r="AF46" i="5"/>
  <c r="AG20" i="5"/>
  <c r="AH20" i="5" s="1"/>
  <c r="AG28" i="5"/>
  <c r="AH28" i="5" s="1"/>
  <c r="AF20" i="5"/>
  <c r="AF59" i="5"/>
  <c r="AF39" i="5"/>
  <c r="AF6" i="5"/>
  <c r="AF27" i="5"/>
  <c r="AF30" i="5"/>
  <c r="AF37" i="5"/>
  <c r="AF45" i="5"/>
  <c r="AG46" i="5"/>
  <c r="AH46" i="5" s="1"/>
  <c r="AF57" i="5"/>
  <c r="AF49" i="5"/>
  <c r="AI49" i="5" s="1"/>
  <c r="AF53" i="5"/>
  <c r="AI53" i="5" s="1"/>
  <c r="AF66" i="5"/>
  <c r="AG66" i="5"/>
  <c r="AH66" i="5" s="1"/>
  <c r="AF11" i="5"/>
  <c r="AI11" i="5" s="1"/>
  <c r="AF18" i="5"/>
  <c r="AI18" i="5" s="1"/>
  <c r="AF24" i="5"/>
  <c r="AF26" i="5"/>
  <c r="AF38" i="5"/>
  <c r="AI38" i="5" s="1"/>
  <c r="AF50" i="5"/>
  <c r="AG36" i="5"/>
  <c r="AH36" i="5" s="1"/>
  <c r="AF9" i="5"/>
  <c r="AF44" i="5"/>
  <c r="AI44" i="5" s="1"/>
  <c r="AF29" i="5"/>
  <c r="AF31" i="5"/>
  <c r="AF4" i="5"/>
  <c r="AF8" i="5"/>
  <c r="AF10" i="5"/>
  <c r="AI10" i="5" s="1"/>
  <c r="AF28" i="5"/>
  <c r="AF61" i="5"/>
  <c r="AI61" i="5" s="1"/>
  <c r="AF14" i="5"/>
  <c r="AG19" i="5"/>
  <c r="AH19" i="5" s="1"/>
  <c r="AG42" i="5"/>
  <c r="AH42" i="5" s="1"/>
  <c r="AG65" i="5"/>
  <c r="AH65" i="5" s="1"/>
  <c r="AF15" i="5"/>
  <c r="AF22" i="5"/>
  <c r="AF35" i="5"/>
  <c r="AI35" i="5" s="1"/>
  <c r="AF40" i="5"/>
  <c r="AI40" i="5" s="1"/>
  <c r="AF42" i="5"/>
  <c r="AF54" i="5"/>
  <c r="AF55" i="5"/>
  <c r="AG14" i="5"/>
  <c r="AH14" i="5" s="1"/>
  <c r="AG23" i="5"/>
  <c r="AH23" i="5" s="1"/>
  <c r="AG4" i="5"/>
  <c r="AH4" i="5" s="1"/>
  <c r="AG54" i="5"/>
  <c r="AH54" i="5" s="1"/>
  <c r="AF7" i="5"/>
  <c r="AF25" i="5"/>
  <c r="AF51" i="5"/>
  <c r="AI51" i="5" s="1"/>
  <c r="AG8" i="5"/>
  <c r="AH8" i="5" s="1"/>
  <c r="AG24" i="5"/>
  <c r="AH24" i="5" s="1"/>
  <c r="AG12" i="5"/>
  <c r="AH12" i="5" s="1"/>
  <c r="AF13" i="5"/>
  <c r="AF19" i="5"/>
  <c r="AF5" i="5"/>
  <c r="AF56" i="5"/>
  <c r="AF63" i="5"/>
  <c r="AI63" i="5" s="1"/>
  <c r="AF48" i="5"/>
  <c r="AI48" i="5" s="1"/>
  <c r="AF65" i="5"/>
  <c r="AG30" i="5"/>
  <c r="AH30" i="5" s="1"/>
  <c r="AG31" i="5"/>
  <c r="AH31" i="5" s="1"/>
  <c r="AF2" i="5"/>
  <c r="AI2" i="5" s="1"/>
  <c r="AF21" i="5"/>
  <c r="AI21" i="5" s="1"/>
  <c r="AF41" i="5"/>
  <c r="AF64" i="5"/>
  <c r="AI64" i="5" s="1"/>
  <c r="AF3" i="5"/>
  <c r="AF17" i="5"/>
  <c r="AF36" i="5"/>
  <c r="AF52" i="5"/>
  <c r="AF16" i="5"/>
  <c r="AF23" i="5"/>
  <c r="AF34" i="5"/>
  <c r="AI34" i="5" s="1"/>
  <c r="AF62" i="5"/>
  <c r="AF33" i="5"/>
  <c r="AI33" i="5" s="1"/>
  <c r="AG5" i="5"/>
  <c r="AH5" i="5" s="1"/>
  <c r="AF58" i="5"/>
  <c r="AF60" i="5"/>
  <c r="AF43" i="5"/>
  <c r="AI43" i="5" s="1"/>
  <c r="AF47" i="5"/>
  <c r="AG59" i="5"/>
  <c r="AH59" i="5" s="1"/>
  <c r="AG60" i="5"/>
  <c r="AH60" i="5" s="1"/>
  <c r="AG41" i="5"/>
  <c r="AH41" i="5" s="1"/>
  <c r="AF19" i="6"/>
  <c r="AG19" i="6"/>
  <c r="AH19" i="6" s="1"/>
  <c r="AF25" i="6"/>
  <c r="AG25" i="6"/>
  <c r="AH25" i="6" s="1"/>
  <c r="AF28" i="6"/>
  <c r="AG28" i="6"/>
  <c r="AH28" i="6" s="1"/>
  <c r="AF23" i="6"/>
  <c r="AG23" i="6"/>
  <c r="AH23" i="6" s="1"/>
  <c r="AG56" i="6"/>
  <c r="AH56" i="6" s="1"/>
  <c r="AI56" i="6" s="1"/>
  <c r="AG55" i="6"/>
  <c r="AH55" i="6" s="1"/>
  <c r="AF32" i="6"/>
  <c r="AG32" i="6"/>
  <c r="AH32" i="6" s="1"/>
  <c r="AF30" i="6"/>
  <c r="AG30" i="6"/>
  <c r="AH30" i="6" s="1"/>
  <c r="AF33" i="6"/>
  <c r="AG33" i="6"/>
  <c r="AH33" i="6" s="1"/>
  <c r="AF35" i="6"/>
  <c r="AG35" i="6"/>
  <c r="AH35" i="6" s="1"/>
  <c r="AF36" i="6"/>
  <c r="AG36" i="6"/>
  <c r="AH36" i="6" s="1"/>
  <c r="AF38" i="6"/>
  <c r="AG38" i="6"/>
  <c r="AH38" i="6" s="1"/>
  <c r="AF40" i="6"/>
  <c r="AG40" i="6"/>
  <c r="AH40" i="6" s="1"/>
  <c r="AF44" i="6"/>
  <c r="AG44" i="6"/>
  <c r="AH44" i="6" s="1"/>
  <c r="AF46" i="6"/>
  <c r="AG46" i="6"/>
  <c r="AH46" i="6" s="1"/>
  <c r="AF57" i="6"/>
  <c r="AG57" i="6"/>
  <c r="AH57" i="6" s="1"/>
  <c r="AF55" i="6"/>
  <c r="AI55" i="6" s="1"/>
  <c r="AF12" i="6"/>
  <c r="AG12" i="6"/>
  <c r="AH12" i="6" s="1"/>
  <c r="AF9" i="6"/>
  <c r="AG9" i="6"/>
  <c r="AH9" i="6" s="1"/>
  <c r="AF34" i="6"/>
  <c r="AG34" i="6"/>
  <c r="AH34" i="6" s="1"/>
  <c r="AF39" i="6"/>
  <c r="AG39" i="6"/>
  <c r="AH39" i="6" s="1"/>
  <c r="AF47" i="6"/>
  <c r="AG47" i="6"/>
  <c r="AH47" i="6" s="1"/>
  <c r="AF37" i="6"/>
  <c r="AF24" i="6"/>
  <c r="AG37" i="6"/>
  <c r="AH37" i="6" s="1"/>
  <c r="AG24" i="6"/>
  <c r="AH24" i="6" s="1"/>
  <c r="AF41" i="6"/>
  <c r="AF27" i="6"/>
  <c r="AG41" i="6"/>
  <c r="AH41" i="6" s="1"/>
  <c r="AG27" i="6"/>
  <c r="AH27" i="6" s="1"/>
  <c r="AF42" i="6"/>
  <c r="AG42" i="6"/>
  <c r="AH42" i="6" s="1"/>
  <c r="AF43" i="6"/>
  <c r="AG43" i="6"/>
  <c r="AH43" i="6" s="1"/>
  <c r="AF45" i="6"/>
  <c r="AG45" i="6"/>
  <c r="AH45" i="6" s="1"/>
  <c r="AF11" i="6"/>
  <c r="AG11" i="6"/>
  <c r="AH11" i="6" s="1"/>
  <c r="AF50" i="6"/>
  <c r="AG50" i="6"/>
  <c r="AH50" i="6" s="1"/>
  <c r="AF49" i="6"/>
  <c r="AG49" i="6"/>
  <c r="AH49" i="6" s="1"/>
  <c r="AF15" i="6"/>
  <c r="AG15" i="6"/>
  <c r="AH15" i="6" s="1"/>
  <c r="AF48" i="6"/>
  <c r="AG48" i="6"/>
  <c r="AH48" i="6" s="1"/>
  <c r="AF51" i="6"/>
  <c r="AG51" i="6"/>
  <c r="AH51" i="6" s="1"/>
  <c r="AF13" i="6"/>
  <c r="AG13" i="6"/>
  <c r="AH13" i="6" s="1"/>
  <c r="AF52" i="6"/>
  <c r="AG52" i="6"/>
  <c r="AH52" i="6" s="1"/>
  <c r="AF53" i="6"/>
  <c r="AF8" i="6"/>
  <c r="AG8" i="6"/>
  <c r="AH8" i="6" s="1"/>
  <c r="AG53" i="6"/>
  <c r="AH53" i="6" s="1"/>
  <c r="AI18" i="7"/>
  <c r="AI17" i="6" l="1"/>
  <c r="AI53" i="6"/>
  <c r="AI26" i="6"/>
  <c r="AI6" i="8"/>
  <c r="AI16" i="6"/>
  <c r="AI20" i="6"/>
  <c r="AI4" i="8"/>
  <c r="AI5" i="8"/>
  <c r="AI4" i="7"/>
  <c r="AI22" i="6"/>
  <c r="AI39" i="5"/>
  <c r="AI13" i="5"/>
  <c r="AI6" i="5"/>
  <c r="AI37" i="5"/>
  <c r="AI45" i="5"/>
  <c r="AI9" i="5"/>
  <c r="AI17" i="5"/>
  <c r="AI66" i="5"/>
  <c r="AI22" i="5"/>
  <c r="AI12" i="5"/>
  <c r="AI62" i="5"/>
  <c r="AI27" i="5"/>
  <c r="AI7" i="5"/>
  <c r="AI16" i="5"/>
  <c r="AI25" i="5"/>
  <c r="AI15" i="5"/>
  <c r="AI50" i="5"/>
  <c r="AI30" i="5"/>
  <c r="AI24" i="5"/>
  <c r="AI29" i="5"/>
  <c r="AI52" i="5"/>
  <c r="AI47" i="5"/>
  <c r="AI56" i="5"/>
  <c r="AI19" i="5"/>
  <c r="AI4" i="5"/>
  <c r="AI57" i="5"/>
  <c r="AI20" i="5"/>
  <c r="AI31" i="5"/>
  <c r="AI58" i="5"/>
  <c r="AI36" i="5"/>
  <c r="AI55" i="5"/>
  <c r="AI28" i="5"/>
  <c r="AI46" i="5"/>
  <c r="AI26" i="5"/>
  <c r="AI59" i="5"/>
  <c r="AI23" i="5"/>
  <c r="AI3" i="5"/>
  <c r="AI8" i="5"/>
  <c r="AI14" i="5"/>
  <c r="AI65" i="5"/>
  <c r="AI42" i="5"/>
  <c r="AI41" i="5"/>
  <c r="AI54" i="5"/>
  <c r="AI5" i="5"/>
  <c r="AI60" i="5"/>
  <c r="AI28" i="6"/>
  <c r="AI25" i="6"/>
  <c r="AI19" i="6"/>
  <c r="AI57" i="6"/>
  <c r="AI46" i="6"/>
  <c r="AI44" i="6"/>
  <c r="AI40" i="6"/>
  <c r="AI38" i="6"/>
  <c r="AI36" i="6"/>
  <c r="AI35" i="6"/>
  <c r="AI33" i="6"/>
  <c r="AI30" i="6"/>
  <c r="AI32" i="6"/>
  <c r="AI23" i="6"/>
  <c r="AI8" i="6"/>
  <c r="AI52" i="6"/>
  <c r="AI13" i="6"/>
  <c r="AI51" i="6"/>
  <c r="AI48" i="6"/>
  <c r="AI15" i="6"/>
  <c r="AI49" i="6"/>
  <c r="AI50" i="6"/>
  <c r="AI11" i="6"/>
  <c r="AI45" i="6"/>
  <c r="AI43" i="6"/>
  <c r="AI42" i="6"/>
  <c r="AI27" i="6"/>
  <c r="AI41" i="6"/>
  <c r="AI24" i="6"/>
  <c r="AI37" i="6"/>
  <c r="AI47" i="6"/>
  <c r="AI39" i="6"/>
  <c r="AI34" i="6"/>
  <c r="AI9" i="6"/>
  <c r="AI12" i="6"/>
</calcChain>
</file>

<file path=xl/sharedStrings.xml><?xml version="1.0" encoding="utf-8"?>
<sst xmlns="http://schemas.openxmlformats.org/spreadsheetml/2006/main" count="1394" uniqueCount="284">
  <si>
    <t>Number</t>
  </si>
  <si>
    <t>Competitor Name</t>
  </si>
  <si>
    <t>CLASS</t>
  </si>
  <si>
    <t>Start Time</t>
  </si>
  <si>
    <t>Station 1 Arrival</t>
  </si>
  <si>
    <t>Elapsed Trail Time (MM)</t>
  </si>
  <si>
    <t>STATION 1 "SMITH"</t>
  </si>
  <si>
    <t>Trail Resume Time</t>
  </si>
  <si>
    <t>Station 2 Arrival</t>
  </si>
  <si>
    <t>STATION 2 "Audie"</t>
  </si>
  <si>
    <t>Trail Resume</t>
  </si>
  <si>
    <t>Station 3 Arrival</t>
  </si>
  <si>
    <t>STATION 3 "Roy"</t>
  </si>
  <si>
    <t>Station 4 Arrival</t>
  </si>
  <si>
    <t>STATION 4 "Travis"</t>
  </si>
  <si>
    <t>Station 5 Arrival</t>
  </si>
  <si>
    <t>STATION 5 "Bowie"</t>
  </si>
  <si>
    <t>Station 6 Arrival</t>
  </si>
  <si>
    <t>0740</t>
  </si>
  <si>
    <t>80*</t>
  </si>
  <si>
    <t>andrew kallus</t>
  </si>
  <si>
    <t>Light</t>
  </si>
  <si>
    <t>87</t>
  </si>
  <si>
    <t>Wade Phillips</t>
  </si>
  <si>
    <t>79:90</t>
  </si>
  <si>
    <t>50*</t>
  </si>
  <si>
    <t>Ryan Milton</t>
  </si>
  <si>
    <t>58*</t>
  </si>
  <si>
    <t>Mike Aranas</t>
  </si>
  <si>
    <t>0800</t>
  </si>
  <si>
    <t>81</t>
  </si>
  <si>
    <t>Christopher vickers</t>
  </si>
  <si>
    <t>63</t>
  </si>
  <si>
    <t>Rheily Garcia</t>
  </si>
  <si>
    <t>41*</t>
  </si>
  <si>
    <t>Trey LaQuey</t>
  </si>
  <si>
    <t>0820</t>
  </si>
  <si>
    <t>55*</t>
  </si>
  <si>
    <t>Stefan Lockton</t>
  </si>
  <si>
    <t>43*</t>
  </si>
  <si>
    <t>Charles Bourgeois</t>
  </si>
  <si>
    <t>0840</t>
  </si>
  <si>
    <t>32*</t>
  </si>
  <si>
    <t>Andrew Sisson</t>
  </si>
  <si>
    <t>30*</t>
  </si>
  <si>
    <t>Larry Orines</t>
  </si>
  <si>
    <t>0900</t>
  </si>
  <si>
    <t>31</t>
  </si>
  <si>
    <t>Jared Wright</t>
  </si>
  <si>
    <t>0920</t>
  </si>
  <si>
    <t>15*</t>
  </si>
  <si>
    <t>Calvin Nguyen</t>
  </si>
  <si>
    <t>18*</t>
  </si>
  <si>
    <t>Christian Thomas</t>
  </si>
  <si>
    <t>77</t>
  </si>
  <si>
    <t>Taylor Hoover</t>
  </si>
  <si>
    <t>0940</t>
  </si>
  <si>
    <t>2*</t>
  </si>
  <si>
    <t>Robert Yanez</t>
  </si>
  <si>
    <t>8*</t>
  </si>
  <si>
    <t>Alvaro Garcia</t>
  </si>
  <si>
    <t>117*</t>
  </si>
  <si>
    <t>Nicholas Cook</t>
  </si>
  <si>
    <t>1000</t>
  </si>
  <si>
    <t>37*</t>
  </si>
  <si>
    <t>Devon Breshears</t>
  </si>
  <si>
    <t>64*</t>
  </si>
  <si>
    <t>Blake Mai</t>
  </si>
  <si>
    <t>33</t>
  </si>
  <si>
    <t>Michael Howell</t>
  </si>
  <si>
    <t>69*</t>
  </si>
  <si>
    <t>Castle</t>
  </si>
  <si>
    <t>35*</t>
  </si>
  <si>
    <t>Serenity Jirasek</t>
  </si>
  <si>
    <t>1020</t>
  </si>
  <si>
    <t>82*</t>
  </si>
  <si>
    <t>Pablo Olleros</t>
  </si>
  <si>
    <t>4*</t>
  </si>
  <si>
    <t>Matthew Cohagan</t>
  </si>
  <si>
    <t>6*</t>
  </si>
  <si>
    <t>Blase Lipiec</t>
  </si>
  <si>
    <t>1040</t>
  </si>
  <si>
    <t>10*</t>
  </si>
  <si>
    <t>Octaviano Mendoza</t>
  </si>
  <si>
    <t>12*</t>
  </si>
  <si>
    <t>Alexander Lee</t>
  </si>
  <si>
    <t>17*</t>
  </si>
  <si>
    <t>Michael Nutt</t>
  </si>
  <si>
    <t>20*</t>
  </si>
  <si>
    <t>TODD Childers</t>
  </si>
  <si>
    <t>40*</t>
  </si>
  <si>
    <t>Mike Gresham</t>
  </si>
  <si>
    <t>1100</t>
  </si>
  <si>
    <t>39*</t>
  </si>
  <si>
    <t>Justin Pershall</t>
  </si>
  <si>
    <t>42*</t>
  </si>
  <si>
    <t>Preston Neely</t>
  </si>
  <si>
    <t>38*</t>
  </si>
  <si>
    <t>Cal Naughton</t>
  </si>
  <si>
    <t>1120</t>
  </si>
  <si>
    <t>47*</t>
  </si>
  <si>
    <t>Joshua Kohler</t>
  </si>
  <si>
    <t>45*</t>
  </si>
  <si>
    <t>Corey Huey</t>
  </si>
  <si>
    <t>1140</t>
  </si>
  <si>
    <t>48*</t>
  </si>
  <si>
    <t>Jason Mai</t>
  </si>
  <si>
    <t>52*</t>
  </si>
  <si>
    <t>Eric Long</t>
  </si>
  <si>
    <t>51*</t>
  </si>
  <si>
    <t>evan lessuk</t>
  </si>
  <si>
    <t>1240</t>
  </si>
  <si>
    <t>49*</t>
  </si>
  <si>
    <t>Daryl Mai</t>
  </si>
  <si>
    <t>54*</t>
  </si>
  <si>
    <t>Jacob Glover</t>
  </si>
  <si>
    <t>57*</t>
  </si>
  <si>
    <t>Philip Aranas</t>
  </si>
  <si>
    <t>62</t>
  </si>
  <si>
    <t>Tyler Milligan</t>
  </si>
  <si>
    <t>1300</t>
  </si>
  <si>
    <t>79*</t>
  </si>
  <si>
    <t>James Rogers</t>
  </si>
  <si>
    <t>75</t>
  </si>
  <si>
    <t>Jared Farris</t>
  </si>
  <si>
    <t>74</t>
  </si>
  <si>
    <t>William Haggerty</t>
  </si>
  <si>
    <t>83*</t>
  </si>
  <si>
    <t>lane Winkelmann</t>
  </si>
  <si>
    <t>STATION 6 "Gonzalez"</t>
  </si>
  <si>
    <t>FINISH LINE</t>
  </si>
  <si>
    <t>TOTAL TRAIL TIME (MM)</t>
  </si>
  <si>
    <t>SHOOT TIME</t>
  </si>
  <si>
    <t>Shoot TIme Conversion</t>
  </si>
  <si>
    <t>TOTAL TIME</t>
  </si>
  <si>
    <t>1320</t>
  </si>
  <si>
    <t>24*</t>
  </si>
  <si>
    <t>John Menke</t>
  </si>
  <si>
    <t>1340</t>
  </si>
  <si>
    <t>73*</t>
  </si>
  <si>
    <t>Jason Cahill</t>
  </si>
  <si>
    <t>1540</t>
  </si>
  <si>
    <t>3*</t>
  </si>
  <si>
    <t>Rafael Delfin</t>
  </si>
  <si>
    <t>OVERALL PLACE</t>
  </si>
  <si>
    <t>34*</t>
  </si>
  <si>
    <t>Daniel Jirasek</t>
  </si>
  <si>
    <t>Tactical</t>
  </si>
  <si>
    <t>61*</t>
  </si>
  <si>
    <t>Mandy Stanford</t>
  </si>
  <si>
    <t>22*</t>
  </si>
  <si>
    <t>Roland Castille</t>
  </si>
  <si>
    <t>Tacticle</t>
  </si>
  <si>
    <t>44*</t>
  </si>
  <si>
    <t>Stephen young</t>
  </si>
  <si>
    <t>21*</t>
  </si>
  <si>
    <t>Ryan Gaspard</t>
  </si>
  <si>
    <t>29*</t>
  </si>
  <si>
    <t>Austin Forest</t>
  </si>
  <si>
    <t>13*</t>
  </si>
  <si>
    <t>Riley Buckles</t>
  </si>
  <si>
    <t>1500</t>
  </si>
  <si>
    <t>109*</t>
  </si>
  <si>
    <t>Randy Thumann</t>
  </si>
  <si>
    <t>46*</t>
  </si>
  <si>
    <t>Hugh Fullerton</t>
  </si>
  <si>
    <t>Tactile</t>
  </si>
  <si>
    <t>14*</t>
  </si>
  <si>
    <t>Rocky Greenwalt</t>
  </si>
  <si>
    <t>53*</t>
  </si>
  <si>
    <t>Tom Dowdy</t>
  </si>
  <si>
    <t>78*</t>
  </si>
  <si>
    <t>Cody Klare</t>
  </si>
  <si>
    <t>59*</t>
  </si>
  <si>
    <t>James Rolon</t>
  </si>
  <si>
    <t>740</t>
  </si>
  <si>
    <t>60*</t>
  </si>
  <si>
    <t>Michael Martinez</t>
  </si>
  <si>
    <t>19*</t>
  </si>
  <si>
    <t>Niles Obar</t>
  </si>
  <si>
    <t>107*</t>
  </si>
  <si>
    <t>Hunter Andras</t>
  </si>
  <si>
    <t>7</t>
  </si>
  <si>
    <t>Jason Gutierrez</t>
  </si>
  <si>
    <t>76*</t>
  </si>
  <si>
    <t>Derik Kearns</t>
  </si>
  <si>
    <t>Grunt</t>
  </si>
  <si>
    <t>56*</t>
  </si>
  <si>
    <t>joshua boston</t>
  </si>
  <si>
    <t>11*</t>
  </si>
  <si>
    <t>Ross Polk</t>
  </si>
  <si>
    <t>GRUNT</t>
  </si>
  <si>
    <t>2</t>
  </si>
  <si>
    <t>1*</t>
  </si>
  <si>
    <t>Christopher Blocker</t>
  </si>
  <si>
    <t>3</t>
  </si>
  <si>
    <t>5*</t>
  </si>
  <si>
    <t>Stephanie Marshall</t>
  </si>
  <si>
    <t>1</t>
  </si>
  <si>
    <t>Wick, Juan</t>
  </si>
  <si>
    <t>Riggs, Martin</t>
  </si>
  <si>
    <t>Lightfoot, Jay</t>
  </si>
  <si>
    <t>4</t>
  </si>
  <si>
    <t>Hammer, MC</t>
  </si>
  <si>
    <t>Atomic Blonde</t>
  </si>
  <si>
    <t>6</t>
  </si>
  <si>
    <t>Cucuy, Thomas</t>
  </si>
  <si>
    <t>Huun, Lo</t>
  </si>
  <si>
    <t>8</t>
  </si>
  <si>
    <t>Tsung, Shang</t>
  </si>
  <si>
    <t>10</t>
  </si>
  <si>
    <t>Chivas, Regal</t>
  </si>
  <si>
    <t>11</t>
  </si>
  <si>
    <t>Regular, Larry</t>
  </si>
  <si>
    <t>12</t>
  </si>
  <si>
    <t>Snick</t>
  </si>
  <si>
    <t>13</t>
  </si>
  <si>
    <t>Phil wit</t>
  </si>
  <si>
    <t>10:06</t>
  </si>
  <si>
    <t>14</t>
  </si>
  <si>
    <t>Dave mils</t>
  </si>
  <si>
    <t>15</t>
  </si>
  <si>
    <t>Voodoo</t>
  </si>
  <si>
    <t>16</t>
  </si>
  <si>
    <t>Martin</t>
  </si>
  <si>
    <t>17</t>
  </si>
  <si>
    <t>Seth</t>
  </si>
  <si>
    <t>18</t>
  </si>
  <si>
    <t>Mud</t>
  </si>
  <si>
    <t>19</t>
  </si>
  <si>
    <t>Cody</t>
  </si>
  <si>
    <t>20</t>
  </si>
  <si>
    <t>Daddy</t>
  </si>
  <si>
    <t>001</t>
  </si>
  <si>
    <t>Wick, John</t>
  </si>
  <si>
    <t>0745</t>
  </si>
  <si>
    <t>180</t>
  </si>
  <si>
    <t>0750</t>
  </si>
  <si>
    <t>90</t>
  </si>
  <si>
    <t>0810</t>
  </si>
  <si>
    <t>0910</t>
  </si>
  <si>
    <t>0930</t>
  </si>
  <si>
    <t>120</t>
  </si>
  <si>
    <t>NO PAUSE</t>
  </si>
  <si>
    <t>Go/No Go</t>
  </si>
  <si>
    <t>NO RESUME</t>
  </si>
  <si>
    <t>1045</t>
  </si>
  <si>
    <t>893</t>
  </si>
  <si>
    <t>Thomas</t>
  </si>
  <si>
    <t>1200</t>
  </si>
  <si>
    <t>005</t>
  </si>
  <si>
    <t>1400</t>
  </si>
  <si>
    <t>Cucuy</t>
  </si>
  <si>
    <t>:45</t>
  </si>
  <si>
    <t>1420</t>
  </si>
  <si>
    <t>1440</t>
  </si>
  <si>
    <t>180 minutes</t>
  </si>
  <si>
    <t>310 seconds</t>
  </si>
  <si>
    <t>1520</t>
  </si>
  <si>
    <t>Stage Modifier</t>
  </si>
  <si>
    <t>Jeff Grabowski</t>
  </si>
  <si>
    <t>Light Fighter Solo</t>
  </si>
  <si>
    <t>STATION 1</t>
  </si>
  <si>
    <t>Brett Pair</t>
  </si>
  <si>
    <t xml:space="preserve">STATION 2 </t>
  </si>
  <si>
    <t xml:space="preserve">STATION 3 </t>
  </si>
  <si>
    <t xml:space="preserve">STATION 4 </t>
  </si>
  <si>
    <t xml:space="preserve">STATION 5 </t>
  </si>
  <si>
    <t xml:space="preserve">STATION 6 </t>
  </si>
  <si>
    <t>Marcos Villarreal &amp; Santiago Flores</t>
  </si>
  <si>
    <t>Light Fighter Pair</t>
  </si>
  <si>
    <t>Courtney Bouchard &amp; Azucema Ledesma</t>
  </si>
  <si>
    <t>Cully Stoilis &amp; Christian Stoilis</t>
  </si>
  <si>
    <t>Jason Gutierrez &amp; Larry Orines</t>
  </si>
  <si>
    <t>David Herrera &amp;David Cardosa</t>
  </si>
  <si>
    <t>Medium Fighting Pair</t>
  </si>
  <si>
    <t>Richard Gutierrez</t>
  </si>
  <si>
    <t>Medium Fighter Solo</t>
  </si>
  <si>
    <t>Randall Gaines</t>
  </si>
  <si>
    <t>Zachary Miller</t>
  </si>
  <si>
    <t>Dallas &amp; Mud</t>
  </si>
  <si>
    <t>Charlie Phung &amp; Jason Whiteside</t>
  </si>
  <si>
    <t>Fire Team Challenge GOM</t>
  </si>
  <si>
    <t>Fire Team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</si>
</sst>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0;[Red]0.00"/>
    <numFmt numFmtId="166" formatCode="[$-F400]h:mm:ss\ AM/PM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624"/>
      <name val="Madefor"/>
      <charset val="1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0" xfId="0" applyFill="1"/>
    <xf numFmtId="49" fontId="0" fillId="8" borderId="0" xfId="0" applyNumberForma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8" borderId="2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horizontal="center"/>
    </xf>
    <xf numFmtId="0" fontId="0" fillId="12" borderId="0" xfId="0" applyFill="1"/>
    <xf numFmtId="0" fontId="1" fillId="13" borderId="1" xfId="0" applyFont="1" applyFill="1" applyBorder="1" applyAlignment="1">
      <alignment horizontal="center" vertical="center" wrapText="1"/>
    </xf>
    <xf numFmtId="49" fontId="0" fillId="14" borderId="2" xfId="0" applyNumberFormat="1" applyFill="1" applyBorder="1" applyAlignment="1">
      <alignment horizontal="center"/>
    </xf>
    <xf numFmtId="49" fontId="0" fillId="14" borderId="1" xfId="0" applyNumberForma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164" fontId="0" fillId="15" borderId="1" xfId="0" applyNumberForma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46" fontId="0" fillId="14" borderId="1" xfId="0" applyNumberFormat="1" applyFill="1" applyBorder="1" applyAlignment="1">
      <alignment horizontal="center"/>
    </xf>
    <xf numFmtId="164" fontId="0" fillId="16" borderId="1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49" fontId="0" fillId="14" borderId="1" xfId="0" applyNumberFormat="1" applyFill="1" applyBorder="1" applyAlignment="1">
      <alignment horizontal="center" wrapText="1"/>
    </xf>
    <xf numFmtId="49" fontId="0" fillId="17" borderId="2" xfId="0" applyNumberForma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49" fontId="0" fillId="18" borderId="2" xfId="0" applyNumberFormat="1" applyFill="1" applyBorder="1" applyAlignment="1">
      <alignment horizontal="center"/>
    </xf>
    <xf numFmtId="49" fontId="0" fillId="18" borderId="1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49" fontId="0" fillId="19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49" fontId="0" fillId="9" borderId="4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9" borderId="3" xfId="0" applyFill="1" applyBorder="1" applyAlignment="1">
      <alignment horizontal="center"/>
    </xf>
    <xf numFmtId="0" fontId="3" fillId="19" borderId="3" xfId="0" applyFont="1" applyFill="1" applyBorder="1"/>
    <xf numFmtId="49" fontId="0" fillId="19" borderId="3" xfId="0" applyNumberFormat="1" applyFill="1" applyBorder="1" applyAlignment="1">
      <alignment horizontal="center"/>
    </xf>
    <xf numFmtId="0" fontId="3" fillId="17" borderId="1" xfId="0" applyFont="1" applyFill="1" applyBorder="1"/>
    <xf numFmtId="0" fontId="3" fillId="17" borderId="8" xfId="0" applyFont="1" applyFill="1" applyBorder="1"/>
    <xf numFmtId="49" fontId="0" fillId="19" borderId="1" xfId="0" applyNumberFormat="1" applyFill="1" applyBorder="1" applyAlignment="1">
      <alignment horizontal="center"/>
    </xf>
    <xf numFmtId="0" fontId="3" fillId="2" borderId="1" xfId="0" applyFont="1" applyFill="1" applyBorder="1"/>
    <xf numFmtId="164" fontId="0" fillId="19" borderId="2" xfId="0" applyNumberFormat="1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46" fontId="0" fillId="19" borderId="1" xfId="0" applyNumberFormat="1" applyFill="1" applyBorder="1" applyAlignment="1">
      <alignment horizontal="center"/>
    </xf>
    <xf numFmtId="49" fontId="0" fillId="19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6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164" fontId="0" fillId="17" borderId="1" xfId="0" applyNumberFormat="1" applyFill="1" applyBorder="1" applyAlignment="1">
      <alignment horizontal="center"/>
    </xf>
    <xf numFmtId="2" fontId="0" fillId="17" borderId="1" xfId="0" applyNumberFormat="1" applyFill="1" applyBorder="1" applyAlignment="1">
      <alignment horizontal="center"/>
    </xf>
    <xf numFmtId="46" fontId="0" fillId="17" borderId="1" xfId="0" applyNumberForma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 wrapText="1"/>
    </xf>
    <xf numFmtId="0" fontId="0" fillId="17" borderId="1" xfId="0" applyFill="1" applyBorder="1"/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8" xfId="0" applyFont="1" applyFill="1" applyBorder="1"/>
    <xf numFmtId="0" fontId="3" fillId="17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0" fontId="3" fillId="21" borderId="8" xfId="0" applyFont="1" applyFill="1" applyBorder="1"/>
    <xf numFmtId="0" fontId="3" fillId="21" borderId="1" xfId="0" applyFont="1" applyFill="1" applyBorder="1"/>
    <xf numFmtId="0" fontId="3" fillId="22" borderId="8" xfId="0" applyFont="1" applyFill="1" applyBorder="1"/>
    <xf numFmtId="0" fontId="3" fillId="21" borderId="7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2" borderId="7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2" xfId="0" applyFont="1" applyFill="1" applyBorder="1" applyAlignment="1">
      <alignment horizontal="center"/>
    </xf>
    <xf numFmtId="20" fontId="0" fillId="8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1" xfId="0" applyFill="1" applyBorder="1" applyAlignment="1">
      <alignment horizontal="center"/>
    </xf>
    <xf numFmtId="20" fontId="0" fillId="12" borderId="1" xfId="0" applyNumberFormat="1" applyFill="1" applyBorder="1" applyAlignment="1">
      <alignment horizontal="center"/>
    </xf>
    <xf numFmtId="0" fontId="0" fillId="12" borderId="0" xfId="0" applyFill="1" applyAlignment="1">
      <alignment horizontal="center"/>
    </xf>
    <xf numFmtId="49" fontId="0" fillId="11" borderId="2" xfId="0" applyNumberFormat="1" applyFill="1" applyBorder="1" applyAlignment="1">
      <alignment horizontal="center"/>
    </xf>
    <xf numFmtId="20" fontId="0" fillId="14" borderId="1" xfId="0" applyNumberFormat="1" applyFill="1" applyBorder="1" applyAlignment="1">
      <alignment horizontal="center"/>
    </xf>
    <xf numFmtId="20" fontId="0" fillId="17" borderId="1" xfId="0" applyNumberFormat="1" applyFill="1" applyBorder="1" applyAlignment="1">
      <alignment horizontal="center"/>
    </xf>
    <xf numFmtId="49" fontId="0" fillId="6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0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6" fontId="0" fillId="6" borderId="1" xfId="0" applyNumberForma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2" fontId="4" fillId="23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49" fontId="0" fillId="17" borderId="0" xfId="0" applyNumberFormat="1" applyFill="1" applyAlignment="1">
      <alignment horizontal="center"/>
    </xf>
    <xf numFmtId="0" fontId="0" fillId="17" borderId="0" xfId="0" applyFill="1" applyAlignment="1">
      <alignment horizontal="center"/>
    </xf>
    <xf numFmtId="20" fontId="0" fillId="17" borderId="0" xfId="0" applyNumberFormat="1" applyFill="1" applyAlignment="1">
      <alignment horizontal="center"/>
    </xf>
    <xf numFmtId="164" fontId="0" fillId="17" borderId="0" xfId="0" applyNumberFormat="1" applyFill="1" applyAlignment="1">
      <alignment horizontal="center"/>
    </xf>
    <xf numFmtId="2" fontId="0" fillId="17" borderId="0" xfId="0" applyNumberFormat="1" applyFill="1" applyAlignment="1">
      <alignment horizontal="center"/>
    </xf>
    <xf numFmtId="46" fontId="0" fillId="17" borderId="0" xfId="0" applyNumberFormat="1" applyFill="1" applyAlignment="1">
      <alignment horizontal="center"/>
    </xf>
    <xf numFmtId="0" fontId="0" fillId="11" borderId="1" xfId="0" applyFill="1" applyBorder="1"/>
    <xf numFmtId="0" fontId="3" fillId="11" borderId="1" xfId="0" applyFont="1" applyFill="1" applyBorder="1"/>
    <xf numFmtId="164" fontId="0" fillId="8" borderId="1" xfId="0" applyNumberFormat="1" applyFill="1" applyBorder="1" applyAlignment="1">
      <alignment horizontal="center"/>
    </xf>
    <xf numFmtId="164" fontId="0" fillId="17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49" fontId="0" fillId="19" borderId="0" xfId="0" applyNumberFormat="1" applyFill="1" applyAlignment="1">
      <alignment horizontal="center"/>
    </xf>
    <xf numFmtId="0" fontId="0" fillId="19" borderId="1" xfId="0" applyFill="1" applyBorder="1"/>
    <xf numFmtId="0" fontId="0" fillId="19" borderId="0" xfId="0" applyFill="1"/>
    <xf numFmtId="164" fontId="0" fillId="8" borderId="0" xfId="0" applyNumberFormat="1" applyFill="1" applyAlignment="1">
      <alignment horizontal="center" vertical="center"/>
    </xf>
    <xf numFmtId="165" fontId="0" fillId="17" borderId="1" xfId="0" applyNumberFormat="1" applyFill="1" applyBorder="1" applyAlignment="1">
      <alignment horizontal="center"/>
    </xf>
    <xf numFmtId="164" fontId="8" fillId="17" borderId="1" xfId="0" applyNumberFormat="1" applyFont="1" applyFill="1" applyBorder="1" applyAlignment="1">
      <alignment horizontal="center" vertical="center"/>
    </xf>
    <xf numFmtId="165" fontId="0" fillId="19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49" fontId="0" fillId="19" borderId="4" xfId="0" applyNumberFormat="1" applyFill="1" applyBorder="1" applyAlignment="1">
      <alignment horizontal="center" vertical="center"/>
    </xf>
    <xf numFmtId="49" fontId="0" fillId="10" borderId="4" xfId="0" applyNumberFormat="1" applyFill="1" applyBorder="1" applyAlignment="1">
      <alignment horizontal="center" vertical="center"/>
    </xf>
    <xf numFmtId="49" fontId="5" fillId="17" borderId="2" xfId="0" applyNumberFormat="1" applyFont="1" applyFill="1" applyBorder="1" applyAlignment="1">
      <alignment horizontal="center"/>
    </xf>
    <xf numFmtId="49" fontId="0" fillId="11" borderId="9" xfId="0" applyNumberFormat="1" applyFill="1" applyBorder="1" applyAlignment="1">
      <alignment horizontal="center"/>
    </xf>
    <xf numFmtId="49" fontId="0" fillId="17" borderId="7" xfId="0" applyNumberFormat="1" applyFill="1" applyBorder="1" applyAlignment="1">
      <alignment horizontal="center"/>
    </xf>
    <xf numFmtId="0" fontId="3" fillId="20" borderId="3" xfId="0" applyFont="1" applyFill="1" applyBorder="1"/>
    <xf numFmtId="0" fontId="3" fillId="22" borderId="10" xfId="0" applyFont="1" applyFill="1" applyBorder="1"/>
    <xf numFmtId="0" fontId="6" fillId="0" borderId="8" xfId="0" applyFont="1" applyBorder="1"/>
    <xf numFmtId="0" fontId="3" fillId="2" borderId="0" xfId="0" applyFont="1" applyFill="1"/>
    <xf numFmtId="0" fontId="7" fillId="17" borderId="8" xfId="0" applyFont="1" applyFill="1" applyBorder="1"/>
    <xf numFmtId="0" fontId="3" fillId="11" borderId="3" xfId="0" applyFont="1" applyFill="1" applyBorder="1"/>
    <xf numFmtId="0" fontId="0" fillId="17" borderId="8" xfId="0" applyFill="1" applyBorder="1"/>
    <xf numFmtId="0" fontId="3" fillId="2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49" fontId="0" fillId="17" borderId="8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164" fontId="0" fillId="19" borderId="2" xfId="0" applyNumberFormat="1" applyFill="1" applyBorder="1" applyAlignment="1">
      <alignment horizontal="center" vertical="center"/>
    </xf>
    <xf numFmtId="0" fontId="7" fillId="17" borderId="1" xfId="0" applyFont="1" applyFill="1" applyBorder="1"/>
    <xf numFmtId="164" fontId="0" fillId="24" borderId="1" xfId="0" applyNumberFormat="1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/>
    </xf>
    <xf numFmtId="165" fontId="0" fillId="24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/>
    </xf>
    <xf numFmtId="0" fontId="3" fillId="21" borderId="8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3" fillId="22" borderId="3" xfId="0" applyFont="1" applyFill="1" applyBorder="1"/>
    <xf numFmtId="0" fontId="3" fillId="11" borderId="1" xfId="0" applyFont="1" applyFill="1" applyBorder="1" applyAlignment="1">
      <alignment horizontal="center"/>
    </xf>
    <xf numFmtId="0" fontId="0" fillId="11" borderId="8" xfId="0" applyFill="1" applyBorder="1"/>
    <xf numFmtId="0" fontId="0" fillId="11" borderId="7" xfId="0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49" fontId="0" fillId="25" borderId="3" xfId="0" applyNumberFormat="1" applyFill="1" applyBorder="1" applyAlignment="1">
      <alignment horizontal="center"/>
    </xf>
    <xf numFmtId="0" fontId="3" fillId="25" borderId="3" xfId="0" applyFont="1" applyFill="1" applyBorder="1"/>
    <xf numFmtId="164" fontId="0" fillId="25" borderId="2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center" vertical="center"/>
    </xf>
    <xf numFmtId="165" fontId="0" fillId="25" borderId="1" xfId="0" applyNumberFormat="1" applyFill="1" applyBorder="1" applyAlignment="1">
      <alignment horizontal="center"/>
    </xf>
    <xf numFmtId="2" fontId="0" fillId="25" borderId="1" xfId="0" applyNumberFormat="1" applyFill="1" applyBorder="1" applyAlignment="1">
      <alignment horizontal="center"/>
    </xf>
    <xf numFmtId="46" fontId="0" fillId="25" borderId="1" xfId="0" applyNumberFormat="1" applyFill="1" applyBorder="1" applyAlignment="1">
      <alignment horizontal="center"/>
    </xf>
    <xf numFmtId="49" fontId="0" fillId="25" borderId="1" xfId="0" applyNumberFormat="1" applyFill="1" applyBorder="1" applyAlignment="1">
      <alignment horizontal="center" wrapText="1"/>
    </xf>
    <xf numFmtId="0" fontId="0" fillId="25" borderId="3" xfId="0" applyFill="1" applyBorder="1" applyAlignment="1">
      <alignment horizontal="center"/>
    </xf>
    <xf numFmtId="164" fontId="0" fillId="25" borderId="2" xfId="0" applyNumberFormat="1" applyFill="1" applyBorder="1" applyAlignment="1">
      <alignment horizontal="center" vertical="center"/>
    </xf>
    <xf numFmtId="49" fontId="0" fillId="25" borderId="7" xfId="0" applyNumberFormat="1" applyFill="1" applyBorder="1" applyAlignment="1">
      <alignment horizontal="center"/>
    </xf>
    <xf numFmtId="0" fontId="3" fillId="25" borderId="1" xfId="0" applyFont="1" applyFill="1" applyBorder="1"/>
    <xf numFmtId="49" fontId="0" fillId="25" borderId="2" xfId="0" applyNumberFormat="1" applyFill="1" applyBorder="1" applyAlignment="1">
      <alignment horizontal="center"/>
    </xf>
    <xf numFmtId="0" fontId="3" fillId="25" borderId="8" xfId="0" applyFont="1" applyFill="1" applyBorder="1"/>
    <xf numFmtId="0" fontId="0" fillId="25" borderId="1" xfId="0" applyFill="1" applyBorder="1" applyAlignment="1">
      <alignment horizontal="center"/>
    </xf>
    <xf numFmtId="49" fontId="0" fillId="25" borderId="1" xfId="0" applyNumberFormat="1" applyFill="1" applyBorder="1" applyAlignment="1">
      <alignment horizontal="center"/>
    </xf>
    <xf numFmtId="0" fontId="0" fillId="25" borderId="1" xfId="0" applyFill="1" applyBorder="1"/>
    <xf numFmtId="0" fontId="3" fillId="25" borderId="2" xfId="0" applyFont="1" applyFill="1" applyBorder="1" applyAlignment="1">
      <alignment horizontal="center"/>
    </xf>
    <xf numFmtId="0" fontId="3" fillId="25" borderId="7" xfId="0" applyFont="1" applyFill="1" applyBorder="1" applyAlignment="1">
      <alignment horizontal="center"/>
    </xf>
    <xf numFmtId="0" fontId="3" fillId="26" borderId="1" xfId="0" applyFont="1" applyFill="1" applyBorder="1"/>
    <xf numFmtId="0" fontId="3" fillId="26" borderId="2" xfId="0" applyFont="1" applyFill="1" applyBorder="1" applyAlignment="1">
      <alignment horizontal="center"/>
    </xf>
    <xf numFmtId="0" fontId="3" fillId="26" borderId="8" xfId="0" applyFont="1" applyFill="1" applyBorder="1"/>
    <xf numFmtId="0" fontId="3" fillId="26" borderId="7" xfId="0" applyFont="1" applyFill="1" applyBorder="1" applyAlignment="1">
      <alignment horizontal="center"/>
    </xf>
    <xf numFmtId="164" fontId="8" fillId="25" borderId="1" xfId="0" applyNumberFormat="1" applyFont="1" applyFill="1" applyBorder="1" applyAlignment="1">
      <alignment horizontal="center" vertical="center"/>
    </xf>
    <xf numFmtId="0" fontId="3" fillId="26" borderId="10" xfId="0" applyFont="1" applyFill="1" applyBorder="1"/>
    <xf numFmtId="49" fontId="5" fillId="25" borderId="2" xfId="0" applyNumberFormat="1" applyFont="1" applyFill="1" applyBorder="1" applyAlignment="1">
      <alignment horizontal="center"/>
    </xf>
    <xf numFmtId="49" fontId="0" fillId="25" borderId="9" xfId="0" applyNumberFormat="1" applyFill="1" applyBorder="1" applyAlignment="1">
      <alignment horizontal="center"/>
    </xf>
    <xf numFmtId="0" fontId="3" fillId="26" borderId="3" xfId="0" applyFont="1" applyFill="1" applyBorder="1"/>
    <xf numFmtId="0" fontId="6" fillId="25" borderId="8" xfId="0" applyFont="1" applyFill="1" applyBorder="1"/>
    <xf numFmtId="0" fontId="3" fillId="25" borderId="0" xfId="0" applyFont="1" applyFill="1"/>
    <xf numFmtId="0" fontId="0" fillId="25" borderId="8" xfId="0" applyFill="1" applyBorder="1"/>
    <xf numFmtId="0" fontId="7" fillId="25" borderId="1" xfId="0" applyFont="1" applyFill="1" applyBorder="1"/>
    <xf numFmtId="0" fontId="3" fillId="26" borderId="3" xfId="0" applyFont="1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49" fontId="0" fillId="25" borderId="8" xfId="0" applyNumberFormat="1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165" fontId="0" fillId="25" borderId="1" xfId="0" applyNumberFormat="1" applyFill="1" applyBorder="1" applyAlignment="1">
      <alignment horizontal="center" vertical="center"/>
    </xf>
    <xf numFmtId="164" fontId="0" fillId="8" borderId="0" xfId="0" applyNumberFormat="1" applyFill="1"/>
    <xf numFmtId="21" fontId="0" fillId="25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2" fontId="0" fillId="25" borderId="1" xfId="0" applyNumberForma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20" fontId="0" fillId="25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27" borderId="1" xfId="0" applyNumberFormat="1" applyFill="1" applyBorder="1" applyAlignment="1">
      <alignment horizontal="center" vertical="center"/>
    </xf>
    <xf numFmtId="2" fontId="0" fillId="27" borderId="1" xfId="0" applyNumberForma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166" fontId="0" fillId="25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F8A1-7928-4255-A09F-BDFB45BA0975}">
  <dimension ref="A1:AU117"/>
  <sheetViews>
    <sheetView view="pageBreakPreview" zoomScale="89" zoomScaleNormal="100" zoomScaleSheetLayoutView="89" workbookViewId="0">
      <pane ySplit="1" topLeftCell="A8" activePane="bottomLeft" state="frozen"/>
      <selection activeCell="AD1" sqref="AD1"/>
      <selection pane="bottomLeft" activeCell="X16" sqref="X16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bestFit="1" customWidth="1"/>
    <col min="7" max="7" width="9.77734375" style="26" customWidth="1"/>
    <col min="8" max="8" width="11.44140625" customWidth="1"/>
    <col min="9" max="9" width="15.6640625" customWidth="1"/>
    <col min="10" max="10" width="14" bestFit="1" customWidth="1"/>
    <col min="11" max="11" width="18.109375" style="26" bestFit="1" customWidth="1"/>
    <col min="12" max="12" width="12.33203125" bestFit="1" customWidth="1"/>
    <col min="13" max="13" width="11.44140625" bestFit="1" customWidth="1"/>
    <col min="14" max="14" width="14" style="2" bestFit="1" customWidth="1"/>
    <col min="15" max="15" width="11.44140625" style="26" customWidth="1"/>
    <col min="16" max="16" width="9.6640625" style="2" bestFit="1" customWidth="1"/>
    <col min="17" max="17" width="11.44140625" bestFit="1" customWidth="1"/>
    <col min="18" max="18" width="14" bestFit="1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63"/>
      <c r="AC1" s="70">
        <v>0.4152777777777778</v>
      </c>
      <c r="AD1" s="70">
        <v>0.4152777777777778</v>
      </c>
      <c r="AE1" s="70">
        <f>SUM(AD1-AC1)</f>
        <v>0</v>
      </c>
      <c r="AF1" s="72" t="e">
        <f>SUM(G1+K1+O1+S1+W1+AA1+AE1)</f>
        <v>#VALUE!</v>
      </c>
      <c r="AG1" s="71" t="e">
        <f>SUM(H1+L1+P1+T1+X1-AB1)</f>
        <v>#VALUE!</v>
      </c>
      <c r="AH1" s="72" t="e">
        <f>AG1/85400</f>
        <v>#VALUE!</v>
      </c>
      <c r="AI1" s="72" t="e">
        <f>SUM(AF1+AH1)</f>
        <v>#VALUE!</v>
      </c>
      <c r="AJ1" s="74"/>
    </row>
    <row r="2" spans="1:47" s="9" customFormat="1" ht="19.2" hidden="1" customHeight="1">
      <c r="A2" s="50"/>
      <c r="B2" s="56"/>
      <c r="C2" s="55"/>
      <c r="D2" s="56"/>
      <c r="E2" s="61"/>
      <c r="F2" s="61"/>
      <c r="G2" s="62"/>
      <c r="H2" s="123"/>
      <c r="I2" s="62"/>
      <c r="J2" s="62"/>
      <c r="K2" s="62"/>
      <c r="L2" s="70"/>
      <c r="M2" s="62"/>
      <c r="N2" s="62"/>
      <c r="O2" s="62"/>
      <c r="P2" s="123"/>
      <c r="Q2" s="123"/>
      <c r="R2" s="123"/>
      <c r="S2" s="62"/>
      <c r="T2" s="70"/>
      <c r="U2" s="123"/>
      <c r="V2" s="62"/>
      <c r="W2" s="62"/>
      <c r="X2" s="129"/>
      <c r="Y2" s="62"/>
      <c r="Z2" s="62"/>
      <c r="AA2" s="62"/>
      <c r="AB2" s="63"/>
      <c r="AC2" s="62"/>
      <c r="AD2" s="62"/>
      <c r="AE2" s="62"/>
      <c r="AF2" s="64"/>
      <c r="AG2" s="63"/>
      <c r="AH2" s="64"/>
      <c r="AI2" s="64"/>
      <c r="AJ2" s="6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 hidden="1">
      <c r="A3" s="50"/>
      <c r="B3" s="54"/>
      <c r="C3" s="55"/>
      <c r="D3" s="56"/>
      <c r="E3" s="61"/>
      <c r="F3" s="61"/>
      <c r="G3" s="62"/>
      <c r="H3" s="123"/>
      <c r="I3" s="62"/>
      <c r="J3" s="62"/>
      <c r="K3" s="62"/>
      <c r="L3" s="70"/>
      <c r="M3" s="62"/>
      <c r="N3" s="62"/>
      <c r="O3" s="62"/>
      <c r="P3" s="131"/>
      <c r="Q3" s="123"/>
      <c r="R3" s="123"/>
      <c r="S3" s="62"/>
      <c r="T3" s="131"/>
      <c r="U3" s="123"/>
      <c r="V3" s="62"/>
      <c r="W3" s="62"/>
      <c r="X3" s="129"/>
      <c r="Y3" s="62"/>
      <c r="Z3" s="62"/>
      <c r="AA3" s="62"/>
      <c r="AB3" s="63"/>
      <c r="AC3" s="62"/>
      <c r="AD3" s="62"/>
      <c r="AE3" s="62"/>
      <c r="AF3" s="64"/>
      <c r="AG3" s="63"/>
      <c r="AH3" s="64"/>
      <c r="AI3" s="64"/>
      <c r="AJ3" s="65"/>
    </row>
    <row r="4" spans="1:47" s="8" customFormat="1" hidden="1">
      <c r="A4" s="133"/>
      <c r="B4" s="56"/>
      <c r="C4" s="55"/>
      <c r="D4" s="56"/>
      <c r="E4" s="156"/>
      <c r="F4" s="156"/>
      <c r="G4" s="62"/>
      <c r="H4" s="121"/>
      <c r="I4" s="62"/>
      <c r="J4" s="62"/>
      <c r="K4" s="62"/>
      <c r="L4" s="70"/>
      <c r="M4" s="62"/>
      <c r="N4" s="62"/>
      <c r="O4" s="62"/>
      <c r="P4" s="123"/>
      <c r="Q4" s="123"/>
      <c r="R4" s="123"/>
      <c r="S4" s="62"/>
      <c r="T4" s="70"/>
      <c r="U4" s="123"/>
      <c r="V4" s="62"/>
      <c r="W4" s="62"/>
      <c r="X4" s="129"/>
      <c r="Y4" s="62"/>
      <c r="Z4" s="62"/>
      <c r="AA4" s="62"/>
      <c r="AB4" s="63"/>
      <c r="AC4" s="62"/>
      <c r="AD4" s="62"/>
      <c r="AE4" s="62"/>
      <c r="AF4" s="64"/>
      <c r="AG4" s="63"/>
      <c r="AH4" s="64"/>
      <c r="AI4" s="64"/>
      <c r="AJ4" s="65"/>
    </row>
    <row r="5" spans="1:47" hidden="1">
      <c r="A5" s="134"/>
      <c r="B5" s="56"/>
      <c r="C5" s="138"/>
      <c r="D5" s="145"/>
      <c r="E5" s="156"/>
      <c r="F5" s="156"/>
      <c r="G5" s="62"/>
      <c r="H5" s="121"/>
      <c r="I5" s="62"/>
      <c r="J5" s="62"/>
      <c r="K5" s="62"/>
      <c r="L5" s="70"/>
      <c r="M5" s="62"/>
      <c r="N5" s="62"/>
      <c r="O5" s="62"/>
      <c r="P5" s="123"/>
      <c r="Q5" s="123"/>
      <c r="R5" s="123"/>
      <c r="S5" s="62"/>
      <c r="T5" s="70"/>
      <c r="U5" s="123"/>
      <c r="V5" s="62"/>
      <c r="W5" s="62"/>
      <c r="X5" s="129"/>
      <c r="Y5" s="62"/>
      <c r="Z5" s="62"/>
      <c r="AA5" s="62"/>
      <c r="AB5" s="63"/>
      <c r="AC5" s="62"/>
      <c r="AD5" s="62"/>
      <c r="AE5" s="62"/>
      <c r="AF5" s="64"/>
      <c r="AG5" s="63"/>
      <c r="AH5" s="64"/>
      <c r="AI5" s="64"/>
      <c r="AJ5" s="126"/>
    </row>
    <row r="6" spans="1:47" s="9" customFormat="1" hidden="1">
      <c r="A6" s="132"/>
      <c r="B6" s="56"/>
      <c r="C6" s="138"/>
      <c r="D6" s="145"/>
      <c r="E6" s="156"/>
      <c r="F6" s="123"/>
      <c r="G6" s="62"/>
      <c r="H6" s="124"/>
      <c r="I6" s="62"/>
      <c r="J6" s="62"/>
      <c r="K6" s="62"/>
      <c r="L6" s="70"/>
      <c r="M6" s="62"/>
      <c r="N6" s="62"/>
      <c r="O6" s="62"/>
      <c r="P6" s="121"/>
      <c r="Q6" s="123"/>
      <c r="R6" s="123"/>
      <c r="S6" s="62"/>
      <c r="T6" s="70"/>
      <c r="U6" s="123"/>
      <c r="V6" s="62"/>
      <c r="W6" s="62"/>
      <c r="X6" s="129"/>
      <c r="Y6" s="62"/>
      <c r="Z6" s="62"/>
      <c r="AA6" s="62"/>
      <c r="AB6" s="63"/>
      <c r="AC6" s="62"/>
      <c r="AD6" s="62"/>
      <c r="AE6" s="62"/>
      <c r="AF6" s="64"/>
      <c r="AG6" s="63"/>
      <c r="AH6" s="64"/>
      <c r="AI6" s="64"/>
      <c r="AJ6" s="126"/>
    </row>
    <row r="7" spans="1:47" s="2" customFormat="1" hidden="1">
      <c r="A7" s="50"/>
      <c r="B7" s="56"/>
      <c r="C7" s="138"/>
      <c r="D7" s="145"/>
      <c r="E7" s="156"/>
      <c r="F7" s="123"/>
      <c r="G7" s="62"/>
      <c r="H7" s="124"/>
      <c r="I7" s="62"/>
      <c r="J7" s="62"/>
      <c r="K7" s="62"/>
      <c r="L7" s="70"/>
      <c r="M7" s="62"/>
      <c r="N7" s="62"/>
      <c r="O7" s="62"/>
      <c r="P7" s="121"/>
      <c r="Q7" s="123"/>
      <c r="R7" s="123"/>
      <c r="S7" s="62"/>
      <c r="T7" s="70"/>
      <c r="U7" s="123"/>
      <c r="V7" s="62"/>
      <c r="W7" s="62"/>
      <c r="X7" s="129"/>
      <c r="Y7" s="62"/>
      <c r="Z7" s="70"/>
      <c r="AA7" s="62"/>
      <c r="AB7" s="63"/>
      <c r="AC7" s="70"/>
      <c r="AD7" s="62"/>
      <c r="AE7" s="62"/>
      <c r="AF7" s="64"/>
      <c r="AG7" s="63"/>
      <c r="AH7" s="64"/>
      <c r="AI7" s="64"/>
      <c r="AJ7" s="59"/>
    </row>
    <row r="8" spans="1:47" s="36" customFormat="1">
      <c r="A8" s="20" t="s">
        <v>18</v>
      </c>
      <c r="B8" s="137" t="s">
        <v>19</v>
      </c>
      <c r="C8" s="83" t="s">
        <v>20</v>
      </c>
      <c r="D8" s="163" t="s">
        <v>21</v>
      </c>
      <c r="E8" s="121">
        <v>0.54513888888888895</v>
      </c>
      <c r="F8" s="121">
        <v>0.54791666666666672</v>
      </c>
      <c r="G8" s="70">
        <f t="shared" ref="G8:G39" si="0">SUM(F8-E8)</f>
        <v>2.7777777777777679E-3</v>
      </c>
      <c r="H8" s="161">
        <v>122.49</v>
      </c>
      <c r="I8" s="70">
        <v>0.58819444444444446</v>
      </c>
      <c r="J8" s="70">
        <v>0.59513888888888888</v>
      </c>
      <c r="K8" s="70">
        <f t="shared" ref="K8:K36" si="1">SUM(J8-I8)</f>
        <v>6.9444444444444198E-3</v>
      </c>
      <c r="L8" s="70" t="e">
        <f>#REF!+111.94/1440</f>
        <v>#REF!</v>
      </c>
      <c r="M8" s="70">
        <v>0.60347222222222219</v>
      </c>
      <c r="N8" s="70">
        <v>0.60972222222222217</v>
      </c>
      <c r="O8" s="70">
        <f t="shared" ref="O8:O39" si="2">SUM(N8-M8)</f>
        <v>6.2499999999999778E-3</v>
      </c>
      <c r="P8" s="121">
        <f>A8+177.48/1440</f>
        <v>740.12324999999998</v>
      </c>
      <c r="Q8" s="121">
        <v>0.62013888888888891</v>
      </c>
      <c r="R8" s="121">
        <v>0.62569444444444444</v>
      </c>
      <c r="S8" s="70">
        <f t="shared" ref="S8:S39" si="3">SUM(R8-Q8)</f>
        <v>5.5555555555555358E-3</v>
      </c>
      <c r="T8" s="70">
        <f>A8+180/1440</f>
        <v>740.125</v>
      </c>
      <c r="U8" s="121">
        <v>0.63958333333333328</v>
      </c>
      <c r="V8" s="70">
        <v>0.64374999999999993</v>
      </c>
      <c r="W8" s="70">
        <f t="shared" ref="W8:W39" si="4">SUM(V8-U8)</f>
        <v>4.1666666666666519E-3</v>
      </c>
      <c r="X8" s="129">
        <v>101.83</v>
      </c>
      <c r="Y8" s="70">
        <v>0.65486111111111112</v>
      </c>
      <c r="Z8" s="70">
        <v>0.6645833333333333</v>
      </c>
      <c r="AA8" s="70">
        <f t="shared" ref="AA8:AA39" si="5">SUM(Z8-Y8)</f>
        <v>9.7222222222221877E-3</v>
      </c>
      <c r="AB8" s="63"/>
      <c r="AC8" s="120">
        <v>0.68402777777777779</v>
      </c>
      <c r="AD8" s="120">
        <v>0.68472222222222223</v>
      </c>
      <c r="AE8" s="30">
        <f t="shared" ref="AE8:AE53" si="6">SUM(AD8-AC8)</f>
        <v>6.9444444444444198E-4</v>
      </c>
      <c r="AF8" s="37">
        <f t="shared" ref="AF8:AF53" si="7">SUM(G8+K8+O8+S8+W8+AA8+AE8)</f>
        <v>3.6111111111110983E-2</v>
      </c>
      <c r="AG8" s="31" t="e">
        <f t="shared" ref="AG8:AG53" si="8">SUM(H8+L8+P8+T8+X8-AB8)</f>
        <v>#REF!</v>
      </c>
      <c r="AH8" s="37" t="e">
        <f t="shared" ref="AH8:AH53" si="9">AG8/85400</f>
        <v>#REF!</v>
      </c>
      <c r="AI8" s="37" t="e">
        <f t="shared" ref="AI8:AI53" si="10">SUM(AF8+AH8)</f>
        <v>#REF!</v>
      </c>
      <c r="AJ8" s="73"/>
    </row>
    <row r="9" spans="1:47" s="2" customFormat="1">
      <c r="A9" s="20" t="s">
        <v>18</v>
      </c>
      <c r="B9" s="42" t="s">
        <v>22</v>
      </c>
      <c r="C9" s="82" t="s">
        <v>23</v>
      </c>
      <c r="D9" s="162" t="s">
        <v>21</v>
      </c>
      <c r="E9" s="121">
        <v>0.57708333333333328</v>
      </c>
      <c r="F9" s="121">
        <v>0.57847222222222217</v>
      </c>
      <c r="G9" s="70">
        <f t="shared" si="0"/>
        <v>1.388888888888884E-3</v>
      </c>
      <c r="H9" s="124">
        <f>A9+116.59/1440</f>
        <v>740.08096527777775</v>
      </c>
      <c r="I9" s="70">
        <v>0.61597222222222225</v>
      </c>
      <c r="J9" s="70">
        <v>0.61944444444444446</v>
      </c>
      <c r="K9" s="70">
        <f t="shared" si="1"/>
        <v>3.4722222222222099E-3</v>
      </c>
      <c r="L9" s="70" t="s">
        <v>24</v>
      </c>
      <c r="M9" s="70">
        <v>0.62638888888888888</v>
      </c>
      <c r="N9" s="70">
        <v>0.62916666666666665</v>
      </c>
      <c r="O9" s="70">
        <f t="shared" si="2"/>
        <v>2.7777777777777679E-3</v>
      </c>
      <c r="P9" s="121">
        <f>A9+197.23/1440</f>
        <v>740.13696527777779</v>
      </c>
      <c r="Q9" s="121">
        <v>0.64097222222222217</v>
      </c>
      <c r="R9" s="121">
        <v>0.64513888888888882</v>
      </c>
      <c r="S9" s="70">
        <f t="shared" si="3"/>
        <v>4.1666666666666519E-3</v>
      </c>
      <c r="T9" s="70">
        <f>A9+137.52/1440</f>
        <v>740.09550000000002</v>
      </c>
      <c r="U9" s="121">
        <v>0.65208333333333335</v>
      </c>
      <c r="V9" s="70">
        <v>0.65555555555555556</v>
      </c>
      <c r="W9" s="70">
        <f t="shared" si="4"/>
        <v>3.4722222222222099E-3</v>
      </c>
      <c r="X9" s="129">
        <v>77.42</v>
      </c>
      <c r="Y9" s="70">
        <v>0.66875000000000007</v>
      </c>
      <c r="Z9" s="70">
        <v>0.67569444444444438</v>
      </c>
      <c r="AA9" s="70">
        <f t="shared" si="5"/>
        <v>6.9444444444443088E-3</v>
      </c>
      <c r="AB9" s="63">
        <v>5</v>
      </c>
      <c r="AC9" s="70">
        <v>0.53541666666666665</v>
      </c>
      <c r="AD9" s="70">
        <v>0.53611111111111109</v>
      </c>
      <c r="AE9" s="70">
        <f t="shared" si="6"/>
        <v>6.9444444444444198E-4</v>
      </c>
      <c r="AF9" s="72">
        <f t="shared" si="7"/>
        <v>2.2916666666666474E-2</v>
      </c>
      <c r="AG9" s="71" t="e">
        <f t="shared" si="8"/>
        <v>#VALUE!</v>
      </c>
      <c r="AH9" s="72" t="e">
        <f t="shared" si="9"/>
        <v>#VALUE!</v>
      </c>
      <c r="AI9" s="72" t="e">
        <f t="shared" si="10"/>
        <v>#VALUE!</v>
      </c>
      <c r="AJ9" s="73"/>
    </row>
    <row r="10" spans="1:47" s="9" customFormat="1">
      <c r="A10" s="20" t="s">
        <v>18</v>
      </c>
      <c r="B10" s="42" t="s">
        <v>25</v>
      </c>
      <c r="C10" s="82" t="s">
        <v>26</v>
      </c>
      <c r="D10" s="162" t="s">
        <v>21</v>
      </c>
      <c r="E10" s="121">
        <v>0.43958333333333338</v>
      </c>
      <c r="F10" s="121">
        <v>0.45069444444444445</v>
      </c>
      <c r="G10" s="70">
        <f t="shared" si="0"/>
        <v>1.1111111111111072E-2</v>
      </c>
      <c r="H10" s="124">
        <f>A10+153.73/1440</f>
        <v>740.10675694444444</v>
      </c>
      <c r="I10" s="70">
        <v>0.46875</v>
      </c>
      <c r="J10" s="70">
        <v>0.48194444444444445</v>
      </c>
      <c r="K10" s="70">
        <f t="shared" si="1"/>
        <v>1.3194444444444453E-2</v>
      </c>
      <c r="L10" s="70">
        <f>A9+104.57+M11/1440</f>
        <v>844.57036024305546</v>
      </c>
      <c r="M10" s="70">
        <v>0.49444444444444446</v>
      </c>
      <c r="N10" s="70">
        <v>0.50347222222222221</v>
      </c>
      <c r="O10" s="70">
        <f t="shared" si="2"/>
        <v>9.0277777777777457E-3</v>
      </c>
      <c r="P10" s="121">
        <f>A10+193.7/1440</f>
        <v>740.13451388888893</v>
      </c>
      <c r="Q10" s="121">
        <v>0.53888888888888886</v>
      </c>
      <c r="R10" s="121">
        <v>0.55277777777777781</v>
      </c>
      <c r="S10" s="70">
        <f t="shared" si="3"/>
        <v>1.3888888888888951E-2</v>
      </c>
      <c r="T10" s="131">
        <v>180</v>
      </c>
      <c r="U10" s="121">
        <v>0.57916666666666672</v>
      </c>
      <c r="V10" s="70">
        <v>0.58333333333333337</v>
      </c>
      <c r="W10" s="70">
        <f t="shared" si="4"/>
        <v>4.1666666666666519E-3</v>
      </c>
      <c r="X10" s="129">
        <v>128.07</v>
      </c>
      <c r="Y10" s="70">
        <v>0.59375</v>
      </c>
      <c r="Z10" s="70">
        <v>0.6</v>
      </c>
      <c r="AA10" s="70">
        <f t="shared" si="5"/>
        <v>6.2499999999999778E-3</v>
      </c>
      <c r="AB10" s="63">
        <v>5</v>
      </c>
      <c r="AC10" s="70">
        <v>0.42569444444444443</v>
      </c>
      <c r="AD10" s="70">
        <v>0.42638888888888887</v>
      </c>
      <c r="AE10" s="70">
        <f t="shared" si="6"/>
        <v>6.9444444444444198E-4</v>
      </c>
      <c r="AF10" s="72">
        <f t="shared" si="7"/>
        <v>5.8333333333333293E-2</v>
      </c>
      <c r="AG10" s="71">
        <f t="shared" si="8"/>
        <v>2627.8816310763891</v>
      </c>
      <c r="AH10" s="72">
        <f t="shared" si="9"/>
        <v>3.0771447670683714E-2</v>
      </c>
      <c r="AI10" s="72">
        <f t="shared" si="10"/>
        <v>8.9104781004017003E-2</v>
      </c>
      <c r="AJ10" s="73"/>
    </row>
    <row r="11" spans="1:47">
      <c r="A11" s="20" t="s">
        <v>18</v>
      </c>
      <c r="B11" s="42" t="s">
        <v>27</v>
      </c>
      <c r="C11" s="82" t="s">
        <v>28</v>
      </c>
      <c r="D11" s="162" t="s">
        <v>21</v>
      </c>
      <c r="E11" s="121">
        <v>0.45763888888888887</v>
      </c>
      <c r="F11" s="121">
        <v>0.4597222222222222</v>
      </c>
      <c r="G11" s="70">
        <f t="shared" si="0"/>
        <v>2.0833333333333259E-3</v>
      </c>
      <c r="H11" s="124">
        <f>A11+132.87/1440</f>
        <v>740.09227083333337</v>
      </c>
      <c r="I11" s="70">
        <v>0.50138888888888888</v>
      </c>
      <c r="J11" s="70">
        <v>0.50486111111111109</v>
      </c>
      <c r="K11" s="70">
        <f t="shared" si="1"/>
        <v>3.4722222222222099E-3</v>
      </c>
      <c r="L11" s="70">
        <f>A10+112.69/1440</f>
        <v>740.07825694444443</v>
      </c>
      <c r="M11" s="70">
        <v>0.51874999999999993</v>
      </c>
      <c r="N11" s="70">
        <v>0.52222222222222225</v>
      </c>
      <c r="O11" s="70">
        <f t="shared" si="2"/>
        <v>3.4722222222223209E-3</v>
      </c>
      <c r="P11" s="121">
        <f>A11+176.56/1440</f>
        <v>740.12261111111115</v>
      </c>
      <c r="Q11" s="121">
        <v>0.56597222222222221</v>
      </c>
      <c r="R11" s="121">
        <v>0.57013888888888886</v>
      </c>
      <c r="S11" s="70">
        <f t="shared" si="3"/>
        <v>4.1666666666666519E-3</v>
      </c>
      <c r="T11" s="70">
        <f>A11+152.5/1440</f>
        <v>740.10590277777783</v>
      </c>
      <c r="U11" s="121">
        <v>0.59513888888888888</v>
      </c>
      <c r="V11" s="70">
        <v>0.59791666666666665</v>
      </c>
      <c r="W11" s="70">
        <f t="shared" si="4"/>
        <v>2.7777777777777679E-3</v>
      </c>
      <c r="X11" s="129">
        <v>114.11</v>
      </c>
      <c r="Y11" s="70">
        <v>0.61249999999999993</v>
      </c>
      <c r="Z11" s="70">
        <v>0.61875000000000002</v>
      </c>
      <c r="AA11" s="70">
        <f t="shared" si="5"/>
        <v>6.2500000000000888E-3</v>
      </c>
      <c r="AB11" s="63"/>
      <c r="AC11" s="70">
        <v>0.46597222222222223</v>
      </c>
      <c r="AD11" s="70">
        <v>0.46597222222222223</v>
      </c>
      <c r="AE11" s="70">
        <f t="shared" si="6"/>
        <v>0</v>
      </c>
      <c r="AF11" s="72">
        <f t="shared" si="7"/>
        <v>2.2222222222222365E-2</v>
      </c>
      <c r="AG11" s="71">
        <f t="shared" si="8"/>
        <v>3074.5090416666671</v>
      </c>
      <c r="AH11" s="72">
        <f t="shared" si="9"/>
        <v>3.6001276834504298E-2</v>
      </c>
      <c r="AI11" s="72">
        <f t="shared" si="10"/>
        <v>5.8223499056726663E-2</v>
      </c>
      <c r="AJ11" s="74"/>
    </row>
    <row r="12" spans="1:47" s="8" customFormat="1">
      <c r="A12" s="48" t="s">
        <v>29</v>
      </c>
      <c r="B12" s="42" t="s">
        <v>30</v>
      </c>
      <c r="C12" s="82" t="s">
        <v>31</v>
      </c>
      <c r="D12" s="162" t="s">
        <v>21</v>
      </c>
      <c r="E12" s="121">
        <v>0.54513888888888895</v>
      </c>
      <c r="F12" s="121">
        <v>0.54652777777777783</v>
      </c>
      <c r="G12" s="70">
        <f t="shared" si="0"/>
        <v>1.388888888888884E-3</v>
      </c>
      <c r="H12" s="124">
        <f>A12+152.13/1440</f>
        <v>800.10564583333337</v>
      </c>
      <c r="I12" s="70">
        <v>0.57291666666666663</v>
      </c>
      <c r="J12" s="70">
        <v>0.57708333333333328</v>
      </c>
      <c r="K12" s="70">
        <f t="shared" si="1"/>
        <v>4.1666666666666519E-3</v>
      </c>
      <c r="L12" s="70">
        <f>A11+62.18/1440</f>
        <v>740.04318055555552</v>
      </c>
      <c r="M12" s="70">
        <v>0.58888888888888891</v>
      </c>
      <c r="N12" s="70">
        <v>0.59236111111111112</v>
      </c>
      <c r="O12" s="70">
        <f t="shared" si="2"/>
        <v>3.4722222222222099E-3</v>
      </c>
      <c r="P12" s="121">
        <f>A12+166.28/1440</f>
        <v>800.11547222222225</v>
      </c>
      <c r="Q12" s="121">
        <v>0.59930555555555554</v>
      </c>
      <c r="R12" s="121">
        <v>0.60416666666666663</v>
      </c>
      <c r="S12" s="70">
        <f t="shared" si="3"/>
        <v>4.8611111111110938E-3</v>
      </c>
      <c r="T12" s="70">
        <f>A12+151.59/1440</f>
        <v>800.10527083333329</v>
      </c>
      <c r="U12" s="121">
        <v>0.62013888888888891</v>
      </c>
      <c r="V12" s="70">
        <v>0.62291666666666667</v>
      </c>
      <c r="W12" s="70">
        <f t="shared" si="4"/>
        <v>2.7777777777777679E-3</v>
      </c>
      <c r="X12" s="129">
        <v>65.64</v>
      </c>
      <c r="Y12" s="70">
        <v>0.63194444444444442</v>
      </c>
      <c r="Z12" s="70">
        <v>0.63888888888888895</v>
      </c>
      <c r="AA12" s="70">
        <f t="shared" si="5"/>
        <v>6.9444444444445308E-3</v>
      </c>
      <c r="AB12" s="63"/>
      <c r="AC12" s="70">
        <v>0.5395833333333333</v>
      </c>
      <c r="AD12" s="70">
        <v>0.5395833333333333</v>
      </c>
      <c r="AE12" s="70">
        <f t="shared" si="6"/>
        <v>0</v>
      </c>
      <c r="AF12" s="72">
        <f t="shared" si="7"/>
        <v>2.3611111111111138E-2</v>
      </c>
      <c r="AG12" s="71">
        <f t="shared" si="8"/>
        <v>3206.0095694444444</v>
      </c>
      <c r="AH12" s="72">
        <f t="shared" si="9"/>
        <v>3.7541095660941971E-2</v>
      </c>
      <c r="AI12" s="72">
        <f t="shared" si="10"/>
        <v>6.115220677205311E-2</v>
      </c>
      <c r="AJ12" s="73"/>
    </row>
    <row r="13" spans="1:47">
      <c r="A13" s="48" t="s">
        <v>29</v>
      </c>
      <c r="B13" s="42" t="s">
        <v>32</v>
      </c>
      <c r="C13" s="83" t="s">
        <v>33</v>
      </c>
      <c r="D13" s="162" t="s">
        <v>21</v>
      </c>
      <c r="E13" s="121">
        <v>0.52916666666666667</v>
      </c>
      <c r="F13" s="121">
        <v>0.52986111111111112</v>
      </c>
      <c r="G13" s="70">
        <f t="shared" si="0"/>
        <v>6.9444444444444198E-4</v>
      </c>
      <c r="H13" s="124">
        <f>A13+114.16/1440</f>
        <v>800.07927777777775</v>
      </c>
      <c r="I13" s="70">
        <v>0.53888888888888886</v>
      </c>
      <c r="J13" s="70">
        <v>0.54236111111111118</v>
      </c>
      <c r="K13" s="70">
        <f t="shared" si="1"/>
        <v>3.4722222222223209E-3</v>
      </c>
      <c r="L13" s="70">
        <f>A12+76.45/1440</f>
        <v>800.05309027777776</v>
      </c>
      <c r="M13" s="70">
        <v>0.55486111111111114</v>
      </c>
      <c r="N13" s="70">
        <v>0.55763888888888891</v>
      </c>
      <c r="O13" s="70">
        <f t="shared" si="2"/>
        <v>2.7777777777777679E-3</v>
      </c>
      <c r="P13" s="121">
        <f>A13+165.95/1440</f>
        <v>800.11524305555554</v>
      </c>
      <c r="Q13" s="121">
        <v>0.5805555555555556</v>
      </c>
      <c r="R13" s="121">
        <v>0.58402777777777781</v>
      </c>
      <c r="S13" s="70">
        <f t="shared" si="3"/>
        <v>3.4722222222222099E-3</v>
      </c>
      <c r="T13" s="70">
        <f>A13+120.38/1440</f>
        <v>800.08359722222224</v>
      </c>
      <c r="U13" s="121">
        <v>0.60972222222222217</v>
      </c>
      <c r="V13" s="70">
        <v>0.61111111111111105</v>
      </c>
      <c r="W13" s="70">
        <f t="shared" si="4"/>
        <v>1.388888888888884E-3</v>
      </c>
      <c r="X13" s="129">
        <v>73.599999999999994</v>
      </c>
      <c r="Y13" s="70">
        <v>0.62222222222222223</v>
      </c>
      <c r="Z13" s="70">
        <v>0.62708333333333333</v>
      </c>
      <c r="AA13" s="70">
        <f t="shared" si="5"/>
        <v>4.8611111111110938E-3</v>
      </c>
      <c r="AB13" s="63">
        <v>5</v>
      </c>
      <c r="AC13" s="70">
        <v>0.66875000000000007</v>
      </c>
      <c r="AD13" s="70">
        <v>0.67083333333333339</v>
      </c>
      <c r="AE13" s="70">
        <f t="shared" si="6"/>
        <v>2.0833333333333259E-3</v>
      </c>
      <c r="AF13" s="72">
        <f t="shared" si="7"/>
        <v>1.8750000000000044E-2</v>
      </c>
      <c r="AG13" s="71">
        <f t="shared" si="8"/>
        <v>3268.931208333333</v>
      </c>
      <c r="AH13" s="72">
        <f t="shared" si="9"/>
        <v>3.8277883001561278E-2</v>
      </c>
      <c r="AI13" s="72">
        <f t="shared" si="10"/>
        <v>5.7027883001561322E-2</v>
      </c>
      <c r="AJ13" s="73"/>
    </row>
    <row r="14" spans="1:47" s="8" customFormat="1">
      <c r="A14" s="48" t="s">
        <v>29</v>
      </c>
      <c r="B14" s="42" t="s">
        <v>34</v>
      </c>
      <c r="C14" s="82" t="s">
        <v>35</v>
      </c>
      <c r="D14" s="162" t="s">
        <v>21</v>
      </c>
      <c r="E14" s="121">
        <v>0.39097222222222222</v>
      </c>
      <c r="F14" s="121">
        <v>0.3923611111111111</v>
      </c>
      <c r="G14" s="70">
        <f t="shared" si="0"/>
        <v>1.388888888888884E-3</v>
      </c>
      <c r="H14" s="121">
        <f>A14+1/1440</f>
        <v>800.00069444444443</v>
      </c>
      <c r="I14" s="70">
        <v>0.41666666666666669</v>
      </c>
      <c r="J14" s="70">
        <v>0.42083333333333334</v>
      </c>
      <c r="K14" s="70">
        <f t="shared" si="1"/>
        <v>4.1666666666666519E-3</v>
      </c>
      <c r="L14" s="70">
        <f>A13+93.92/1440</f>
        <v>800.06522222222225</v>
      </c>
      <c r="M14" s="70">
        <v>0.4368055555555555</v>
      </c>
      <c r="N14" s="70">
        <v>0.44097222222222227</v>
      </c>
      <c r="O14" s="70">
        <f t="shared" si="2"/>
        <v>4.1666666666667629E-3</v>
      </c>
      <c r="P14" s="121">
        <f>A14+198/1440</f>
        <v>800.13750000000005</v>
      </c>
      <c r="Q14" s="121">
        <v>0.47013888888888888</v>
      </c>
      <c r="R14" s="121">
        <v>0.47569444444444442</v>
      </c>
      <c r="S14" s="70">
        <f t="shared" si="3"/>
        <v>5.5555555555555358E-3</v>
      </c>
      <c r="T14" s="131">
        <v>180</v>
      </c>
      <c r="U14" s="121">
        <v>0.5</v>
      </c>
      <c r="V14" s="70">
        <v>0.50347222222222221</v>
      </c>
      <c r="W14" s="70">
        <f t="shared" si="4"/>
        <v>3.4722222222222099E-3</v>
      </c>
      <c r="X14" s="129">
        <v>100.14</v>
      </c>
      <c r="Y14" s="70">
        <v>0.51111111111111118</v>
      </c>
      <c r="Z14" s="70">
        <v>0.51944444444444449</v>
      </c>
      <c r="AA14" s="70">
        <f t="shared" si="5"/>
        <v>8.3333333333333037E-3</v>
      </c>
      <c r="AB14" s="63"/>
      <c r="AC14" s="70">
        <v>0.4145833333333333</v>
      </c>
      <c r="AD14" s="70">
        <v>0.4152777777777778</v>
      </c>
      <c r="AE14" s="70">
        <f t="shared" si="6"/>
        <v>6.9444444444449749E-4</v>
      </c>
      <c r="AF14" s="72">
        <f t="shared" si="7"/>
        <v>2.7777777777777846E-2</v>
      </c>
      <c r="AG14" s="71">
        <f t="shared" si="8"/>
        <v>2680.3434166666666</v>
      </c>
      <c r="AH14" s="72">
        <f t="shared" si="9"/>
        <v>3.1385754293520689E-2</v>
      </c>
      <c r="AI14" s="72">
        <f t="shared" si="10"/>
        <v>5.9163532071298534E-2</v>
      </c>
      <c r="AJ14" s="73"/>
    </row>
    <row r="15" spans="1:47">
      <c r="A15" s="22" t="s">
        <v>36</v>
      </c>
      <c r="B15" s="42" t="s">
        <v>37</v>
      </c>
      <c r="C15" s="82" t="s">
        <v>38</v>
      </c>
      <c r="D15" s="162" t="s">
        <v>21</v>
      </c>
      <c r="E15" s="121">
        <v>0.45763888888888887</v>
      </c>
      <c r="F15" s="121">
        <v>0.4597222222222222</v>
      </c>
      <c r="G15" s="70">
        <f t="shared" si="0"/>
        <v>2.0833333333333259E-3</v>
      </c>
      <c r="H15" s="124">
        <f>A15+140.51/1440</f>
        <v>820.09757638888891</v>
      </c>
      <c r="I15" s="70">
        <v>0.4916666666666667</v>
      </c>
      <c r="J15" s="70">
        <v>0.49583333333333335</v>
      </c>
      <c r="K15" s="70">
        <f t="shared" si="1"/>
        <v>4.1666666666666519E-3</v>
      </c>
      <c r="L15" s="70">
        <f>A14+106.51/1440</f>
        <v>800.0739652777778</v>
      </c>
      <c r="M15" s="70">
        <v>0.50555555555555554</v>
      </c>
      <c r="N15" s="70">
        <v>0.50972222222222219</v>
      </c>
      <c r="O15" s="70">
        <f t="shared" si="2"/>
        <v>4.1666666666666519E-3</v>
      </c>
      <c r="P15" s="121">
        <f>A15+197/1440</f>
        <v>820.13680555555561</v>
      </c>
      <c r="Q15" s="121">
        <v>0.55555555555555558</v>
      </c>
      <c r="R15" s="121">
        <v>0.56458333333333333</v>
      </c>
      <c r="S15" s="70">
        <f t="shared" si="3"/>
        <v>9.0277777777777457E-3</v>
      </c>
      <c r="T15" s="70">
        <f>A15+180/1440</f>
        <v>820.125</v>
      </c>
      <c r="U15" s="121">
        <v>0.58611111111111114</v>
      </c>
      <c r="V15" s="70">
        <v>0.58888888888888891</v>
      </c>
      <c r="W15" s="70">
        <f t="shared" si="4"/>
        <v>2.7777777777777679E-3</v>
      </c>
      <c r="X15" s="129">
        <v>109.53</v>
      </c>
      <c r="Y15" s="70">
        <v>0.60069444444444442</v>
      </c>
      <c r="Z15" s="70">
        <v>0.6069444444444444</v>
      </c>
      <c r="AA15" s="70">
        <f t="shared" si="5"/>
        <v>6.2499999999999778E-3</v>
      </c>
      <c r="AB15" s="63"/>
      <c r="AC15" s="70">
        <v>0.63611111111111118</v>
      </c>
      <c r="AD15" s="70">
        <v>0.63611111111111118</v>
      </c>
      <c r="AE15" s="70">
        <f t="shared" si="6"/>
        <v>0</v>
      </c>
      <c r="AF15" s="72">
        <f t="shared" si="7"/>
        <v>2.8472222222222121E-2</v>
      </c>
      <c r="AG15" s="71">
        <f t="shared" si="8"/>
        <v>3369.9633472222226</v>
      </c>
      <c r="AH15" s="72">
        <f t="shared" si="9"/>
        <v>3.9460929124381997E-2</v>
      </c>
      <c r="AI15" s="72">
        <f t="shared" si="10"/>
        <v>6.7933151346604118E-2</v>
      </c>
      <c r="AJ15" s="74"/>
    </row>
    <row r="16" spans="1:47" s="8" customFormat="1">
      <c r="A16" s="22" t="s">
        <v>36</v>
      </c>
      <c r="B16" s="42" t="s">
        <v>39</v>
      </c>
      <c r="C16" s="82" t="s">
        <v>40</v>
      </c>
      <c r="D16" s="162" t="s">
        <v>21</v>
      </c>
      <c r="E16" s="121">
        <v>0.32916666666666666</v>
      </c>
      <c r="F16" s="121">
        <v>0.33194444444444443</v>
      </c>
      <c r="G16" s="70">
        <f t="shared" si="0"/>
        <v>2.7777777777777679E-3</v>
      </c>
      <c r="H16" s="121">
        <f>A16+121.52/1440</f>
        <v>820.08438888888884</v>
      </c>
      <c r="I16" s="70">
        <v>0.35138888888888892</v>
      </c>
      <c r="J16" s="70">
        <v>0.36041666666666666</v>
      </c>
      <c r="K16" s="70">
        <f t="shared" si="1"/>
        <v>9.0277777777777457E-3</v>
      </c>
      <c r="L16" s="70">
        <f>A15+88.29/1440</f>
        <v>820.06131249999999</v>
      </c>
      <c r="M16" s="70">
        <v>0.37013888888888885</v>
      </c>
      <c r="N16" s="70">
        <v>0.37291666666666662</v>
      </c>
      <c r="O16" s="70">
        <f t="shared" si="2"/>
        <v>2.7777777777777679E-3</v>
      </c>
      <c r="P16" s="121">
        <f>A16+188.08/1440</f>
        <v>820.13061111111108</v>
      </c>
      <c r="Q16" s="121">
        <v>0.38541666666666669</v>
      </c>
      <c r="R16" s="121">
        <v>0.3923611111111111</v>
      </c>
      <c r="S16" s="70">
        <f t="shared" si="3"/>
        <v>6.9444444444444198E-3</v>
      </c>
      <c r="T16" s="70">
        <f>A16+144.13/1440</f>
        <v>820.10009027777778</v>
      </c>
      <c r="U16" s="121">
        <v>0.40208333333333335</v>
      </c>
      <c r="V16" s="70">
        <v>0.40625</v>
      </c>
      <c r="W16" s="70">
        <f t="shared" si="4"/>
        <v>4.1666666666666519E-3</v>
      </c>
      <c r="X16" s="160">
        <v>49.64</v>
      </c>
      <c r="Y16" s="70">
        <v>0.41111111111111115</v>
      </c>
      <c r="Z16" s="70">
        <v>0.42083333333333334</v>
      </c>
      <c r="AA16" s="70">
        <f t="shared" si="5"/>
        <v>9.7222222222221877E-3</v>
      </c>
      <c r="AB16" s="63"/>
      <c r="AC16" s="70">
        <v>0.40972222222222227</v>
      </c>
      <c r="AD16" s="70">
        <v>0.41041666666666665</v>
      </c>
      <c r="AE16" s="70">
        <f t="shared" si="6"/>
        <v>6.9444444444438647E-4</v>
      </c>
      <c r="AF16" s="72">
        <f t="shared" si="7"/>
        <v>3.6111111111110927E-2</v>
      </c>
      <c r="AG16" s="71">
        <f t="shared" si="8"/>
        <v>3330.0164027777778</v>
      </c>
      <c r="AH16" s="72">
        <f t="shared" si="9"/>
        <v>3.8993166308873277E-2</v>
      </c>
      <c r="AI16" s="72">
        <f t="shared" si="10"/>
        <v>7.5104277419984211E-2</v>
      </c>
      <c r="AJ16" s="74"/>
    </row>
    <row r="17" spans="1:40">
      <c r="A17" s="23" t="s">
        <v>41</v>
      </c>
      <c r="B17" s="42" t="s">
        <v>42</v>
      </c>
      <c r="C17" s="82" t="s">
        <v>43</v>
      </c>
      <c r="D17" s="162" t="s">
        <v>21</v>
      </c>
      <c r="E17" s="121">
        <v>0.38125000000000003</v>
      </c>
      <c r="F17" s="121">
        <v>0.38263888888888892</v>
      </c>
      <c r="G17" s="70">
        <f t="shared" si="0"/>
        <v>1.388888888888884E-3</v>
      </c>
      <c r="H17" s="121">
        <f>A17+1/1440</f>
        <v>840.00069444444443</v>
      </c>
      <c r="I17" s="70">
        <v>0.40416666666666662</v>
      </c>
      <c r="J17" s="70">
        <v>0.40763888888888888</v>
      </c>
      <c r="K17" s="70">
        <f t="shared" si="1"/>
        <v>3.4722222222222654E-3</v>
      </c>
      <c r="L17" s="70">
        <f>A16+80/1440</f>
        <v>820.05555555555554</v>
      </c>
      <c r="M17" s="70">
        <v>0.42291666666666666</v>
      </c>
      <c r="N17" s="70">
        <v>0.42638888888888887</v>
      </c>
      <c r="O17" s="70">
        <f t="shared" si="2"/>
        <v>3.4722222222222099E-3</v>
      </c>
      <c r="P17" s="121">
        <f>A17+166.53/1440</f>
        <v>840.11564583333336</v>
      </c>
      <c r="Q17" s="121">
        <v>0.4548611111111111</v>
      </c>
      <c r="R17" s="121">
        <v>0.45833333333333331</v>
      </c>
      <c r="S17" s="70">
        <f t="shared" si="3"/>
        <v>3.4722222222222099E-3</v>
      </c>
      <c r="T17" s="131">
        <v>180</v>
      </c>
      <c r="U17" s="121">
        <v>0.4826388888888889</v>
      </c>
      <c r="V17" s="70">
        <v>0.48541666666666666</v>
      </c>
      <c r="W17" s="70">
        <f t="shared" si="4"/>
        <v>2.7777777777777679E-3</v>
      </c>
      <c r="X17" s="129">
        <v>96.42</v>
      </c>
      <c r="Y17" s="70">
        <v>0.49305555555555558</v>
      </c>
      <c r="Z17" s="70">
        <v>0.4993055555555555</v>
      </c>
      <c r="AA17" s="70">
        <f t="shared" si="5"/>
        <v>6.2499999999999223E-3</v>
      </c>
      <c r="AB17" s="63">
        <v>5</v>
      </c>
      <c r="AC17" s="70">
        <v>0.4680555555555555</v>
      </c>
      <c r="AD17" s="70">
        <v>0.4680555555555555</v>
      </c>
      <c r="AE17" s="70">
        <f t="shared" si="6"/>
        <v>0</v>
      </c>
      <c r="AF17" s="72">
        <f t="shared" si="7"/>
        <v>2.0833333333333259E-2</v>
      </c>
      <c r="AG17" s="71">
        <f t="shared" si="8"/>
        <v>2771.5918958333336</v>
      </c>
      <c r="AH17" s="72">
        <f t="shared" si="9"/>
        <v>3.2454237656128031E-2</v>
      </c>
      <c r="AI17" s="72">
        <f t="shared" si="10"/>
        <v>5.328757098946129E-2</v>
      </c>
      <c r="AJ17" s="74"/>
    </row>
    <row r="18" spans="1:40" s="8" customFormat="1" ht="20.55" customHeight="1">
      <c r="A18" s="23" t="s">
        <v>41</v>
      </c>
      <c r="B18" s="42" t="s">
        <v>44</v>
      </c>
      <c r="C18" s="83" t="s">
        <v>45</v>
      </c>
      <c r="D18" s="86" t="s">
        <v>21</v>
      </c>
      <c r="E18" s="121">
        <v>0.38055555555555554</v>
      </c>
      <c r="F18" s="121">
        <v>0.38263888888888892</v>
      </c>
      <c r="G18" s="70">
        <f t="shared" si="0"/>
        <v>2.0833333333333814E-3</v>
      </c>
      <c r="H18" s="121">
        <f>A18+113.09/1440</f>
        <v>840.07853472222223</v>
      </c>
      <c r="I18" s="70">
        <v>0.39999999999999997</v>
      </c>
      <c r="J18" s="70">
        <v>0.40416666666666662</v>
      </c>
      <c r="K18" s="70">
        <f t="shared" si="1"/>
        <v>4.1666666666666519E-3</v>
      </c>
      <c r="L18" s="70">
        <f>A17+69.1/1440</f>
        <v>840.04798611111107</v>
      </c>
      <c r="M18" s="70">
        <v>0.4201388888888889</v>
      </c>
      <c r="N18" s="70">
        <v>0.42430555555555555</v>
      </c>
      <c r="O18" s="70">
        <f t="shared" si="2"/>
        <v>4.1666666666666519E-3</v>
      </c>
      <c r="P18" s="121">
        <f>A18+181.27/1440</f>
        <v>840.12588194444447</v>
      </c>
      <c r="Q18" s="121">
        <v>0.44722222222222219</v>
      </c>
      <c r="R18" s="121">
        <v>0.45277777777777778</v>
      </c>
      <c r="S18" s="70">
        <f t="shared" si="3"/>
        <v>5.5555555555555913E-3</v>
      </c>
      <c r="T18" s="70">
        <f>A18+172.73/1440</f>
        <v>840.11995138888892</v>
      </c>
      <c r="U18" s="121">
        <v>0.47291666666666665</v>
      </c>
      <c r="V18" s="70">
        <v>0.4770833333333333</v>
      </c>
      <c r="W18" s="70">
        <f t="shared" si="4"/>
        <v>4.1666666666666519E-3</v>
      </c>
      <c r="X18" s="129">
        <v>72.34</v>
      </c>
      <c r="Y18" s="70">
        <v>0.48680555555555555</v>
      </c>
      <c r="Z18" s="70">
        <v>0.49583333333333335</v>
      </c>
      <c r="AA18" s="70">
        <f t="shared" si="5"/>
        <v>9.0277777777778012E-3</v>
      </c>
      <c r="AB18" s="63">
        <v>5</v>
      </c>
      <c r="AC18" s="70">
        <v>0.4680555555555555</v>
      </c>
      <c r="AD18" s="70">
        <v>0.4680555555555555</v>
      </c>
      <c r="AE18" s="70">
        <f t="shared" si="6"/>
        <v>0</v>
      </c>
      <c r="AF18" s="72">
        <f t="shared" si="7"/>
        <v>2.916666666666673E-2</v>
      </c>
      <c r="AG18" s="71">
        <f t="shared" si="8"/>
        <v>3427.712354166667</v>
      </c>
      <c r="AH18" s="72">
        <f t="shared" si="9"/>
        <v>4.0137147004293522E-2</v>
      </c>
      <c r="AI18" s="72">
        <f t="shared" si="10"/>
        <v>6.9303813670960251E-2</v>
      </c>
      <c r="AJ18" s="74"/>
    </row>
    <row r="19" spans="1:40" ht="20.55" customHeight="1">
      <c r="A19" s="22" t="s">
        <v>46</v>
      </c>
      <c r="B19" s="42" t="s">
        <v>47</v>
      </c>
      <c r="C19" s="82" t="s">
        <v>48</v>
      </c>
      <c r="D19" s="85" t="s">
        <v>21</v>
      </c>
      <c r="E19" s="121"/>
      <c r="F19" s="121"/>
      <c r="G19" s="70">
        <f t="shared" si="0"/>
        <v>0</v>
      </c>
      <c r="H19" s="121">
        <f>A19+1/1440</f>
        <v>900.00069444444443</v>
      </c>
      <c r="I19" s="70"/>
      <c r="J19" s="70"/>
      <c r="K19" s="70">
        <f t="shared" si="1"/>
        <v>0</v>
      </c>
      <c r="L19" s="70">
        <f>A18+0/1440</f>
        <v>840</v>
      </c>
      <c r="M19" s="70"/>
      <c r="N19" s="70"/>
      <c r="O19" s="70">
        <f t="shared" si="2"/>
        <v>0</v>
      </c>
      <c r="P19" s="121">
        <f>A19+1/1440</f>
        <v>900.00069444444443</v>
      </c>
      <c r="Q19" s="121"/>
      <c r="R19" s="121"/>
      <c r="S19" s="70">
        <f t="shared" si="3"/>
        <v>0</v>
      </c>
      <c r="T19" s="70">
        <f>A19+0/1440</f>
        <v>900</v>
      </c>
      <c r="U19" s="121"/>
      <c r="V19" s="70"/>
      <c r="W19" s="70">
        <f t="shared" si="4"/>
        <v>0</v>
      </c>
      <c r="X19" s="129"/>
      <c r="Y19" s="70"/>
      <c r="Z19" s="70"/>
      <c r="AA19" s="70">
        <f t="shared" si="5"/>
        <v>0</v>
      </c>
      <c r="AB19" s="63">
        <v>5</v>
      </c>
      <c r="AC19" s="70">
        <v>0.4916666666666667</v>
      </c>
      <c r="AD19" s="70">
        <v>0.49305555555555558</v>
      </c>
      <c r="AE19" s="70">
        <f t="shared" si="6"/>
        <v>1.388888888888884E-3</v>
      </c>
      <c r="AF19" s="72">
        <f t="shared" si="7"/>
        <v>1.388888888888884E-3</v>
      </c>
      <c r="AG19" s="71">
        <f t="shared" si="8"/>
        <v>3535.0013888888889</v>
      </c>
      <c r="AH19" s="72">
        <f t="shared" si="9"/>
        <v>4.1393458886286753E-2</v>
      </c>
      <c r="AI19" s="72">
        <f t="shared" si="10"/>
        <v>4.2782347775175637E-2</v>
      </c>
      <c r="AJ19" s="74"/>
    </row>
    <row r="20" spans="1:40" s="8" customFormat="1" ht="20.55" customHeight="1">
      <c r="A20" s="21" t="s">
        <v>49</v>
      </c>
      <c r="B20" s="42" t="s">
        <v>50</v>
      </c>
      <c r="C20" s="58" t="s">
        <v>51</v>
      </c>
      <c r="D20" s="152" t="s">
        <v>21</v>
      </c>
      <c r="E20" s="121">
        <v>0.34791666666666665</v>
      </c>
      <c r="F20" s="121">
        <v>0.35069444444444442</v>
      </c>
      <c r="G20" s="70">
        <f t="shared" si="0"/>
        <v>2.7777777777777679E-3</v>
      </c>
      <c r="H20" s="121">
        <f>A20+129.1/1440</f>
        <v>920.08965277777781</v>
      </c>
      <c r="I20" s="70">
        <v>0.38750000000000001</v>
      </c>
      <c r="J20" s="70">
        <v>0.3923611111111111</v>
      </c>
      <c r="K20" s="70">
        <f t="shared" si="1"/>
        <v>4.8611111111110938E-3</v>
      </c>
      <c r="L20" s="70">
        <f>A19+90.97/1440</f>
        <v>900.0631736111111</v>
      </c>
      <c r="M20" s="70">
        <v>0.41319444444444442</v>
      </c>
      <c r="N20" s="70">
        <v>0.41875000000000001</v>
      </c>
      <c r="O20" s="70">
        <f t="shared" si="2"/>
        <v>5.5555555555555913E-3</v>
      </c>
      <c r="P20" s="121">
        <f>A20+197.52/1440</f>
        <v>920.13716666666664</v>
      </c>
      <c r="Q20" s="121">
        <v>0.44027777777777777</v>
      </c>
      <c r="R20" s="121">
        <v>0.4458333333333333</v>
      </c>
      <c r="S20" s="70">
        <f t="shared" si="3"/>
        <v>5.5555555555555358E-3</v>
      </c>
      <c r="T20" s="70">
        <f>A20+178.87/1440</f>
        <v>920.12421527777781</v>
      </c>
      <c r="U20" s="121">
        <v>0.46458333333333335</v>
      </c>
      <c r="V20" s="70">
        <v>0.46875</v>
      </c>
      <c r="W20" s="70">
        <f t="shared" si="4"/>
        <v>4.1666666666666519E-3</v>
      </c>
      <c r="X20" s="129">
        <v>104.52</v>
      </c>
      <c r="Y20" s="70">
        <v>0.47847222222222219</v>
      </c>
      <c r="Z20" s="70">
        <v>0.48680555555555555</v>
      </c>
      <c r="AA20" s="70">
        <f t="shared" si="5"/>
        <v>8.3333333333333592E-3</v>
      </c>
      <c r="AB20" s="63">
        <v>5</v>
      </c>
      <c r="AC20" s="70">
        <v>0.4916666666666667</v>
      </c>
      <c r="AD20" s="70">
        <v>0.49305555555555558</v>
      </c>
      <c r="AE20" s="70">
        <f t="shared" si="6"/>
        <v>1.388888888888884E-3</v>
      </c>
      <c r="AF20" s="72">
        <f t="shared" si="7"/>
        <v>3.2638888888888884E-2</v>
      </c>
      <c r="AG20" s="71">
        <f t="shared" si="8"/>
        <v>3759.9342083333336</v>
      </c>
      <c r="AH20" s="72">
        <f t="shared" si="9"/>
        <v>4.4027332650273227E-2</v>
      </c>
      <c r="AI20" s="72">
        <f t="shared" si="10"/>
        <v>7.666622153916211E-2</v>
      </c>
      <c r="AJ20" s="74"/>
    </row>
    <row r="21" spans="1:40" ht="20.55" customHeight="1">
      <c r="A21" s="21" t="s">
        <v>49</v>
      </c>
      <c r="B21" s="42" t="s">
        <v>52</v>
      </c>
      <c r="C21" s="57" t="s">
        <v>53</v>
      </c>
      <c r="D21" s="79" t="s">
        <v>21</v>
      </c>
      <c r="E21" s="121">
        <v>0.35972222222222222</v>
      </c>
      <c r="F21" s="121">
        <v>0.36249999999999999</v>
      </c>
      <c r="G21" s="70">
        <f t="shared" si="0"/>
        <v>2.7777777777777679E-3</v>
      </c>
      <c r="H21" s="121">
        <f>A21+118.54/1440</f>
        <v>920.08231944444447</v>
      </c>
      <c r="I21" s="70">
        <v>0.39374999999999999</v>
      </c>
      <c r="J21" s="70">
        <v>0.39930555555555558</v>
      </c>
      <c r="K21" s="70">
        <f t="shared" si="1"/>
        <v>5.5555555555555913E-3</v>
      </c>
      <c r="L21" s="70">
        <f>A20+88.54/1440</f>
        <v>920.06148611111109</v>
      </c>
      <c r="M21" s="70">
        <v>0.40763888888888888</v>
      </c>
      <c r="N21" s="70">
        <v>0.41250000000000003</v>
      </c>
      <c r="O21" s="70">
        <f t="shared" si="2"/>
        <v>4.8611111111111494E-3</v>
      </c>
      <c r="P21" s="121">
        <f>A21+179.31/1440</f>
        <v>920.12452083333335</v>
      </c>
      <c r="Q21" s="121">
        <v>0.4375</v>
      </c>
      <c r="R21" s="121">
        <v>0.44305555555555554</v>
      </c>
      <c r="S21" s="70">
        <f t="shared" si="3"/>
        <v>5.5555555555555358E-3</v>
      </c>
      <c r="T21" s="131">
        <v>180</v>
      </c>
      <c r="U21" s="121">
        <v>0.4604166666666667</v>
      </c>
      <c r="V21" s="70">
        <v>0.46527777777777773</v>
      </c>
      <c r="W21" s="70">
        <f t="shared" si="4"/>
        <v>4.8611111111110383E-3</v>
      </c>
      <c r="X21" s="129">
        <v>94.61</v>
      </c>
      <c r="Y21" s="70">
        <v>0.47500000000000003</v>
      </c>
      <c r="Z21" s="70">
        <v>0.48333333333333334</v>
      </c>
      <c r="AA21" s="70">
        <f t="shared" si="5"/>
        <v>8.3333333333333037E-3</v>
      </c>
      <c r="AB21" s="63">
        <v>5</v>
      </c>
      <c r="AC21" s="70">
        <v>0.4777777777777778</v>
      </c>
      <c r="AD21" s="70">
        <v>0.47847222222222219</v>
      </c>
      <c r="AE21" s="70">
        <f t="shared" si="6"/>
        <v>6.9444444444438647E-4</v>
      </c>
      <c r="AF21" s="72">
        <f t="shared" si="7"/>
        <v>3.2638888888888773E-2</v>
      </c>
      <c r="AG21" s="71">
        <f t="shared" si="8"/>
        <v>3029.878326388889</v>
      </c>
      <c r="AH21" s="72">
        <f t="shared" si="9"/>
        <v>3.5478668927270363E-2</v>
      </c>
      <c r="AI21" s="72">
        <f t="shared" si="10"/>
        <v>6.8117557816159136E-2</v>
      </c>
      <c r="AJ21" s="74"/>
    </row>
    <row r="22" spans="1:40" s="8" customFormat="1" ht="20.55" customHeight="1">
      <c r="A22" s="21" t="s">
        <v>49</v>
      </c>
      <c r="B22" s="42" t="s">
        <v>54</v>
      </c>
      <c r="C22" s="82" t="s">
        <v>55</v>
      </c>
      <c r="D22" s="85" t="s">
        <v>21</v>
      </c>
      <c r="E22" s="121">
        <v>0.52916666666666667</v>
      </c>
      <c r="F22" s="121">
        <v>0.53055555555555556</v>
      </c>
      <c r="G22" s="70">
        <f t="shared" si="0"/>
        <v>1.388888888888884E-3</v>
      </c>
      <c r="H22" s="124">
        <f>A22+121.89/1440</f>
        <v>920.0846458333333</v>
      </c>
      <c r="I22" s="70">
        <v>0.55347222222222225</v>
      </c>
      <c r="J22" s="70">
        <v>0.55763888888888891</v>
      </c>
      <c r="K22" s="70">
        <f t="shared" si="1"/>
        <v>4.1666666666666519E-3</v>
      </c>
      <c r="L22" s="70">
        <f>A21+117/1440</f>
        <v>920.08124999999995</v>
      </c>
      <c r="M22" s="70">
        <v>0.56319444444444444</v>
      </c>
      <c r="N22" s="70">
        <v>0.56736111111111109</v>
      </c>
      <c r="O22" s="70">
        <f t="shared" si="2"/>
        <v>4.1666666666666519E-3</v>
      </c>
      <c r="P22" s="121">
        <f>A22+182.11/1440</f>
        <v>920.12646527777781</v>
      </c>
      <c r="Q22" s="121">
        <v>0.58750000000000002</v>
      </c>
      <c r="R22" s="121">
        <v>0.59097222222222223</v>
      </c>
      <c r="S22" s="70">
        <f t="shared" si="3"/>
        <v>3.4722222222222099E-3</v>
      </c>
      <c r="T22" s="70">
        <f>A22+178.77/1440</f>
        <v>920.12414583333339</v>
      </c>
      <c r="U22" s="121">
        <v>0.6166666666666667</v>
      </c>
      <c r="V22" s="70">
        <v>0.61875000000000002</v>
      </c>
      <c r="W22" s="70">
        <f t="shared" si="4"/>
        <v>2.0833333333333259E-3</v>
      </c>
      <c r="X22" s="129">
        <v>77.37</v>
      </c>
      <c r="Y22" s="70">
        <v>0.62569444444444444</v>
      </c>
      <c r="Z22" s="70">
        <v>0.63263888888888886</v>
      </c>
      <c r="AA22" s="70">
        <f t="shared" si="5"/>
        <v>6.9444444444444198E-3</v>
      </c>
      <c r="AB22" s="63">
        <v>5</v>
      </c>
      <c r="AC22" s="70">
        <v>0.48472222222222222</v>
      </c>
      <c r="AD22" s="70">
        <v>0.48541666666666666</v>
      </c>
      <c r="AE22" s="70">
        <f t="shared" si="6"/>
        <v>6.9444444444444198E-4</v>
      </c>
      <c r="AF22" s="72">
        <f t="shared" si="7"/>
        <v>2.2916666666666585E-2</v>
      </c>
      <c r="AG22" s="71">
        <f t="shared" si="8"/>
        <v>3752.7865069444442</v>
      </c>
      <c r="AH22" s="72">
        <f t="shared" si="9"/>
        <v>4.3943635912698412E-2</v>
      </c>
      <c r="AI22" s="72">
        <f t="shared" si="10"/>
        <v>6.6860302579364997E-2</v>
      </c>
      <c r="AJ22" s="74"/>
    </row>
    <row r="23" spans="1:40" ht="20.55" customHeight="1">
      <c r="A23" s="20" t="s">
        <v>56</v>
      </c>
      <c r="B23" s="42" t="s">
        <v>57</v>
      </c>
      <c r="C23" s="58" t="s">
        <v>58</v>
      </c>
      <c r="D23" s="137" t="s">
        <v>21</v>
      </c>
      <c r="E23" s="70">
        <v>0.32916666666666666</v>
      </c>
      <c r="F23" s="70">
        <v>0.33124999999999999</v>
      </c>
      <c r="G23" s="70">
        <f t="shared" si="0"/>
        <v>2.0833333333333259E-3</v>
      </c>
      <c r="H23" s="123">
        <f>A23+146.41/1440</f>
        <v>940.1016736111111</v>
      </c>
      <c r="I23" s="70">
        <v>0.34861111111111115</v>
      </c>
      <c r="J23" s="70">
        <v>0.3527777777777778</v>
      </c>
      <c r="K23" s="70">
        <f t="shared" si="1"/>
        <v>4.1666666666666519E-3</v>
      </c>
      <c r="L23" s="131">
        <v>180</v>
      </c>
      <c r="M23" s="70">
        <v>0.36388888888888887</v>
      </c>
      <c r="N23" s="70">
        <v>0.36736111111111108</v>
      </c>
      <c r="O23" s="70">
        <f t="shared" si="2"/>
        <v>3.4722222222222099E-3</v>
      </c>
      <c r="P23" s="121">
        <f>A23+180.97/1440</f>
        <v>940.1256736111111</v>
      </c>
      <c r="Q23" s="121">
        <v>0.38194444444444442</v>
      </c>
      <c r="R23" s="121">
        <v>0.38541666666666669</v>
      </c>
      <c r="S23" s="70">
        <f t="shared" si="3"/>
        <v>3.4722222222222654E-3</v>
      </c>
      <c r="T23" s="131">
        <v>180</v>
      </c>
      <c r="U23" s="121">
        <v>0.39861111111111108</v>
      </c>
      <c r="V23" s="70">
        <v>0.40208333333333335</v>
      </c>
      <c r="W23" s="70">
        <f t="shared" si="4"/>
        <v>3.4722222222222654E-3</v>
      </c>
      <c r="X23" s="129">
        <v>119.99</v>
      </c>
      <c r="Y23" s="70">
        <v>0.40972222222222227</v>
      </c>
      <c r="Z23" s="70">
        <v>0.42291666666666666</v>
      </c>
      <c r="AA23" s="70">
        <f t="shared" si="5"/>
        <v>1.3194444444444398E-2</v>
      </c>
      <c r="AB23" s="63"/>
      <c r="AC23" s="70">
        <v>0.51250000000000007</v>
      </c>
      <c r="AD23" s="70">
        <v>0.5131944444444444</v>
      </c>
      <c r="AE23" s="70">
        <f t="shared" si="6"/>
        <v>6.9444444444433095E-4</v>
      </c>
      <c r="AF23" s="72">
        <f t="shared" si="7"/>
        <v>3.0555555555555447E-2</v>
      </c>
      <c r="AG23" s="71">
        <f t="shared" si="8"/>
        <v>2360.2173472222221</v>
      </c>
      <c r="AH23" s="72">
        <f t="shared" si="9"/>
        <v>2.7637205470986206E-2</v>
      </c>
      <c r="AI23" s="72">
        <f t="shared" si="10"/>
        <v>5.8192761026541653E-2</v>
      </c>
      <c r="AJ23" s="74"/>
    </row>
    <row r="24" spans="1:40" s="8" customFormat="1" ht="20.55" customHeight="1">
      <c r="A24" s="20" t="s">
        <v>56</v>
      </c>
      <c r="B24" s="42" t="s">
        <v>59</v>
      </c>
      <c r="C24" s="58" t="s">
        <v>60</v>
      </c>
      <c r="D24" s="152" t="s">
        <v>21</v>
      </c>
      <c r="E24" s="121">
        <v>0.33819444444444446</v>
      </c>
      <c r="F24" s="121">
        <v>0.3430555555555555</v>
      </c>
      <c r="G24" s="70">
        <f t="shared" si="0"/>
        <v>4.8611111111110383E-3</v>
      </c>
      <c r="H24" s="121">
        <f>A24+129.46/1440</f>
        <v>940.08990277777775</v>
      </c>
      <c r="I24" s="70">
        <v>0.37361111111111112</v>
      </c>
      <c r="J24" s="70">
        <v>0.38125000000000003</v>
      </c>
      <c r="K24" s="70">
        <f t="shared" si="1"/>
        <v>7.6388888888889173E-3</v>
      </c>
      <c r="L24" s="70">
        <f>A23+76.55/1440</f>
        <v>940.05315972222218</v>
      </c>
      <c r="M24" s="70">
        <v>0.39444444444444443</v>
      </c>
      <c r="N24" s="70">
        <v>0.3972222222222222</v>
      </c>
      <c r="O24" s="70">
        <f t="shared" si="2"/>
        <v>2.7777777777777679E-3</v>
      </c>
      <c r="P24" s="121">
        <f>A24+180.39/1440</f>
        <v>940.12527083333339</v>
      </c>
      <c r="Q24" s="121">
        <v>0.41666666666666669</v>
      </c>
      <c r="R24" s="121">
        <v>0.42222222222222222</v>
      </c>
      <c r="S24" s="70">
        <f t="shared" si="3"/>
        <v>5.5555555555555358E-3</v>
      </c>
      <c r="T24" s="131">
        <v>180</v>
      </c>
      <c r="U24" s="121">
        <v>0.43958333333333338</v>
      </c>
      <c r="V24" s="70">
        <v>0.44305555555555554</v>
      </c>
      <c r="W24" s="70">
        <f t="shared" si="4"/>
        <v>3.4722222222221544E-3</v>
      </c>
      <c r="X24" s="129">
        <v>127.99</v>
      </c>
      <c r="Y24" s="70">
        <v>0.45416666666666666</v>
      </c>
      <c r="Z24" s="70">
        <v>0.46458333333333335</v>
      </c>
      <c r="AA24" s="70">
        <f t="shared" si="5"/>
        <v>1.0416666666666685E-2</v>
      </c>
      <c r="AB24" s="63"/>
      <c r="AC24" s="70"/>
      <c r="AD24" s="70"/>
      <c r="AE24" s="70">
        <f t="shared" si="6"/>
        <v>0</v>
      </c>
      <c r="AF24" s="72">
        <f t="shared" si="7"/>
        <v>3.4722222222222099E-2</v>
      </c>
      <c r="AG24" s="71">
        <f t="shared" si="8"/>
        <v>3128.2583333333332</v>
      </c>
      <c r="AH24" s="72">
        <f t="shared" si="9"/>
        <v>3.663065964090554E-2</v>
      </c>
      <c r="AI24" s="72">
        <f t="shared" si="10"/>
        <v>7.1352881863127632E-2</v>
      </c>
      <c r="AJ24" s="43"/>
    </row>
    <row r="25" spans="1:40" ht="20.55" customHeight="1">
      <c r="A25" s="20" t="s">
        <v>56</v>
      </c>
      <c r="B25" s="34" t="s">
        <v>61</v>
      </c>
      <c r="C25" s="140" t="s">
        <v>62</v>
      </c>
      <c r="D25" s="147" t="s">
        <v>21</v>
      </c>
      <c r="E25" s="124">
        <v>0.57847222222222217</v>
      </c>
      <c r="F25" s="124">
        <v>0.57986111111111105</v>
      </c>
      <c r="G25" s="30">
        <f t="shared" si="0"/>
        <v>1.388888888888884E-3</v>
      </c>
      <c r="H25" s="124">
        <f>A25+134.61/1440</f>
        <v>940.09347916666661</v>
      </c>
      <c r="I25" s="120">
        <v>0.62222222222222223</v>
      </c>
      <c r="J25" s="120">
        <v>0.63680555555555551</v>
      </c>
      <c r="K25" s="30">
        <f t="shared" si="1"/>
        <v>1.4583333333333282E-2</v>
      </c>
      <c r="L25" s="160">
        <v>103.26</v>
      </c>
      <c r="M25" s="120">
        <v>0.63263888888888886</v>
      </c>
      <c r="N25" s="120">
        <v>0.63680555555555551</v>
      </c>
      <c r="O25" s="30">
        <f t="shared" si="2"/>
        <v>4.1666666666666519E-3</v>
      </c>
      <c r="P25" s="121">
        <f>A25+179.1/1440</f>
        <v>940.12437499999999</v>
      </c>
      <c r="Q25" s="124">
        <v>0.64722222222222225</v>
      </c>
      <c r="R25" s="124">
        <v>0.65208333333333335</v>
      </c>
      <c r="S25" s="30">
        <f t="shared" si="3"/>
        <v>4.8611111111110938E-3</v>
      </c>
      <c r="T25" s="70">
        <f>A25+180/1440</f>
        <v>940.125</v>
      </c>
      <c r="U25" s="124">
        <v>0.65902777777777777</v>
      </c>
      <c r="V25" s="120">
        <v>0.6645833333333333</v>
      </c>
      <c r="W25" s="30">
        <f t="shared" si="4"/>
        <v>5.5555555555555358E-3</v>
      </c>
      <c r="X25" s="129">
        <v>150.38</v>
      </c>
      <c r="Y25" s="120">
        <v>0.67361111111111116</v>
      </c>
      <c r="Z25" s="120">
        <v>0.68194444444444446</v>
      </c>
      <c r="AA25" s="30">
        <f t="shared" si="5"/>
        <v>8.3333333333333037E-3</v>
      </c>
      <c r="AB25" s="63"/>
      <c r="AC25" s="70">
        <v>0.4993055555555555</v>
      </c>
      <c r="AD25" s="70">
        <v>0.5</v>
      </c>
      <c r="AE25" s="70">
        <f t="shared" si="6"/>
        <v>6.9444444444449749E-4</v>
      </c>
      <c r="AF25" s="72">
        <f t="shared" si="7"/>
        <v>3.9583333333333248E-2</v>
      </c>
      <c r="AG25" s="71">
        <f t="shared" si="8"/>
        <v>3073.9828541666666</v>
      </c>
      <c r="AH25" s="72">
        <f t="shared" si="9"/>
        <v>3.5995115388368464E-2</v>
      </c>
      <c r="AI25" s="72">
        <f t="shared" si="10"/>
        <v>7.5578448721701719E-2</v>
      </c>
      <c r="AJ25" s="74"/>
    </row>
    <row r="26" spans="1:40" s="8" customFormat="1" ht="20.55" customHeight="1">
      <c r="A26" s="21" t="s">
        <v>63</v>
      </c>
      <c r="B26" s="42" t="s">
        <v>64</v>
      </c>
      <c r="C26" s="83" t="s">
        <v>65</v>
      </c>
      <c r="D26" s="86" t="s">
        <v>21</v>
      </c>
      <c r="E26" s="121">
        <v>0.40763888888888888</v>
      </c>
      <c r="F26" s="121">
        <v>0.40972222222222227</v>
      </c>
      <c r="G26" s="70">
        <f t="shared" si="0"/>
        <v>2.0833333333333814E-3</v>
      </c>
      <c r="H26" s="121">
        <f>A26+110.12/1440</f>
        <v>1000.0764722222223</v>
      </c>
      <c r="I26" s="70">
        <v>0.42777777777777781</v>
      </c>
      <c r="J26" s="70">
        <v>0.43194444444444446</v>
      </c>
      <c r="K26" s="70">
        <f t="shared" si="1"/>
        <v>4.1666666666666519E-3</v>
      </c>
      <c r="L26" s="70">
        <v>110.12</v>
      </c>
      <c r="M26" s="70">
        <v>0.44930555555555557</v>
      </c>
      <c r="N26" s="70">
        <v>0.45555555555555555</v>
      </c>
      <c r="O26" s="70">
        <f t="shared" si="2"/>
        <v>6.2499999999999778E-3</v>
      </c>
      <c r="P26" s="121">
        <f>A26+160.09/1440</f>
        <v>1000.1111736111111</v>
      </c>
      <c r="Q26" s="121">
        <v>0.48472222222222222</v>
      </c>
      <c r="R26" s="121">
        <v>0.48958333333333331</v>
      </c>
      <c r="S26" s="70">
        <f t="shared" si="3"/>
        <v>4.8611111111110938E-3</v>
      </c>
      <c r="T26" s="70">
        <f>A26+120.27/1440</f>
        <v>1000.0835208333333</v>
      </c>
      <c r="U26" s="121">
        <v>0.5180555555555556</v>
      </c>
      <c r="V26" s="70">
        <v>0.52013888888888882</v>
      </c>
      <c r="W26" s="70">
        <f t="shared" si="4"/>
        <v>2.0833333333332149E-3</v>
      </c>
      <c r="X26" s="129">
        <v>89.28</v>
      </c>
      <c r="Y26" s="70">
        <v>0.52500000000000002</v>
      </c>
      <c r="Z26" s="70">
        <v>0.53194444444444444</v>
      </c>
      <c r="AA26" s="70">
        <f t="shared" si="5"/>
        <v>6.9444444444444198E-3</v>
      </c>
      <c r="AB26" s="63"/>
      <c r="AC26" s="70">
        <v>0.50277777777777777</v>
      </c>
      <c r="AD26" s="70">
        <v>0.50347222222222221</v>
      </c>
      <c r="AE26" s="70">
        <f t="shared" si="6"/>
        <v>6.9444444444444198E-4</v>
      </c>
      <c r="AF26" s="72">
        <f t="shared" si="7"/>
        <v>2.7083333333333182E-2</v>
      </c>
      <c r="AG26" s="71">
        <f t="shared" si="8"/>
        <v>3199.671166666667</v>
      </c>
      <c r="AH26" s="72">
        <f t="shared" si="9"/>
        <v>3.7466875487900085E-2</v>
      </c>
      <c r="AI26" s="72">
        <f t="shared" si="10"/>
        <v>6.4550208821233274E-2</v>
      </c>
      <c r="AJ26" s="74"/>
      <c r="AK26" s="127"/>
      <c r="AL26" s="127"/>
      <c r="AM26" s="127"/>
      <c r="AN26" s="127"/>
    </row>
    <row r="27" spans="1:40" ht="20.55" customHeight="1">
      <c r="A27" s="21" t="s">
        <v>63</v>
      </c>
      <c r="B27" s="42" t="s">
        <v>66</v>
      </c>
      <c r="C27" s="144" t="s">
        <v>67</v>
      </c>
      <c r="D27" s="152" t="s">
        <v>21</v>
      </c>
      <c r="E27" s="121">
        <v>0.44930555555555557</v>
      </c>
      <c r="F27" s="121">
        <v>0.45208333333333334</v>
      </c>
      <c r="G27" s="70">
        <f t="shared" si="0"/>
        <v>2.7777777777777679E-3</v>
      </c>
      <c r="H27" s="124">
        <f>A27+153.29/1440</f>
        <v>1000.1064513888889</v>
      </c>
      <c r="I27" s="70">
        <v>0.47916666666666669</v>
      </c>
      <c r="J27" s="70">
        <v>0.48333333333333334</v>
      </c>
      <c r="K27" s="70">
        <f t="shared" si="1"/>
        <v>4.1666666666666519E-3</v>
      </c>
      <c r="L27" s="70">
        <f>A26+118.16/1440</f>
        <v>1000.0820555555556</v>
      </c>
      <c r="M27" s="70">
        <v>0.50069444444444444</v>
      </c>
      <c r="N27" s="70">
        <v>0.50347222222222221</v>
      </c>
      <c r="O27" s="70">
        <f t="shared" si="2"/>
        <v>2.7777777777777679E-3</v>
      </c>
      <c r="P27" s="121">
        <f>A27+151.33/1440</f>
        <v>1000.1050902777778</v>
      </c>
      <c r="Q27" s="121">
        <v>0.54791666666666672</v>
      </c>
      <c r="R27" s="121">
        <v>0.55069444444444449</v>
      </c>
      <c r="S27" s="70">
        <f t="shared" si="3"/>
        <v>2.7777777777777679E-3</v>
      </c>
      <c r="T27" s="70">
        <f>A27+180/1440</f>
        <v>1000.125</v>
      </c>
      <c r="U27" s="121">
        <v>0.57708333333333328</v>
      </c>
      <c r="V27" s="70">
        <v>0.57986111111111105</v>
      </c>
      <c r="W27" s="70">
        <f t="shared" si="4"/>
        <v>2.7777777777777679E-3</v>
      </c>
      <c r="X27" s="129">
        <v>92.8</v>
      </c>
      <c r="Y27" s="70">
        <v>0.58958333333333335</v>
      </c>
      <c r="Z27" s="70">
        <v>0.59513888888888888</v>
      </c>
      <c r="AA27" s="70">
        <f t="shared" si="5"/>
        <v>5.5555555555555358E-3</v>
      </c>
      <c r="AB27" s="63"/>
      <c r="AC27" s="70"/>
      <c r="AD27" s="70"/>
      <c r="AE27" s="70">
        <f t="shared" si="6"/>
        <v>0</v>
      </c>
      <c r="AF27" s="72">
        <f t="shared" si="7"/>
        <v>2.0833333333333259E-2</v>
      </c>
      <c r="AG27" s="71">
        <f t="shared" si="8"/>
        <v>4093.2185972222223</v>
      </c>
      <c r="AH27" s="72">
        <f t="shared" si="9"/>
        <v>4.7929960154826957E-2</v>
      </c>
      <c r="AI27" s="72">
        <f t="shared" si="10"/>
        <v>6.876329348816021E-2</v>
      </c>
      <c r="AJ27" s="74"/>
    </row>
    <row r="28" spans="1:40" s="8" customFormat="1" ht="20.55" customHeight="1">
      <c r="A28" s="21" t="s">
        <v>63</v>
      </c>
      <c r="B28" s="42" t="s">
        <v>68</v>
      </c>
      <c r="C28" s="82" t="s">
        <v>69</v>
      </c>
      <c r="D28" s="85" t="s">
        <v>21</v>
      </c>
      <c r="E28" s="121"/>
      <c r="F28" s="121"/>
      <c r="G28" s="70">
        <f t="shared" si="0"/>
        <v>0</v>
      </c>
      <c r="H28" s="121">
        <f>A28+1/1440</f>
        <v>1000.0006944444444</v>
      </c>
      <c r="I28" s="70"/>
      <c r="J28" s="70"/>
      <c r="K28" s="70">
        <f t="shared" si="1"/>
        <v>0</v>
      </c>
      <c r="L28" s="70">
        <f>A27+0/1440</f>
        <v>1000</v>
      </c>
      <c r="M28" s="70"/>
      <c r="N28" s="70"/>
      <c r="O28" s="70">
        <f t="shared" si="2"/>
        <v>0</v>
      </c>
      <c r="P28" s="121">
        <f>A28+1/1440</f>
        <v>1000.0006944444444</v>
      </c>
      <c r="Q28" s="121"/>
      <c r="R28" s="121"/>
      <c r="S28" s="70">
        <f t="shared" si="3"/>
        <v>0</v>
      </c>
      <c r="T28" s="70">
        <f>A28+0/1440</f>
        <v>1000</v>
      </c>
      <c r="U28" s="121"/>
      <c r="V28" s="70"/>
      <c r="W28" s="70">
        <f t="shared" si="4"/>
        <v>0</v>
      </c>
      <c r="X28" s="129"/>
      <c r="Y28" s="70"/>
      <c r="Z28" s="70"/>
      <c r="AA28" s="70">
        <f t="shared" si="5"/>
        <v>0</v>
      </c>
      <c r="AB28" s="63"/>
      <c r="AC28" s="70">
        <v>0.5180555555555556</v>
      </c>
      <c r="AD28" s="70">
        <v>0.51874999999999993</v>
      </c>
      <c r="AE28" s="70">
        <f t="shared" si="6"/>
        <v>6.9444444444433095E-4</v>
      </c>
      <c r="AF28" s="72">
        <f t="shared" si="7"/>
        <v>6.9444444444433095E-4</v>
      </c>
      <c r="AG28" s="71">
        <f t="shared" si="8"/>
        <v>4000.0013888888889</v>
      </c>
      <c r="AH28" s="72">
        <f t="shared" si="9"/>
        <v>4.6838423757481137E-2</v>
      </c>
      <c r="AI28" s="72">
        <f t="shared" si="10"/>
        <v>4.7532868201925468E-2</v>
      </c>
      <c r="AJ28" s="74"/>
    </row>
    <row r="29" spans="1:40" ht="20.55" customHeight="1">
      <c r="A29" s="21" t="s">
        <v>63</v>
      </c>
      <c r="B29" s="42" t="s">
        <v>70</v>
      </c>
      <c r="C29" s="144" t="s">
        <v>71</v>
      </c>
      <c r="D29" s="152" t="s">
        <v>21</v>
      </c>
      <c r="E29" s="121">
        <v>0.33402777777777781</v>
      </c>
      <c r="F29" s="121">
        <v>0.33680555555555558</v>
      </c>
      <c r="G29" s="70">
        <f t="shared" si="0"/>
        <v>2.7777777777777679E-3</v>
      </c>
      <c r="H29" s="121">
        <f>A29+165.22/1440</f>
        <v>1000.1147361111111</v>
      </c>
      <c r="I29" s="70">
        <v>0.36388888888888887</v>
      </c>
      <c r="J29" s="70">
        <v>0.37291666666666662</v>
      </c>
      <c r="K29" s="70">
        <f t="shared" si="1"/>
        <v>9.0277777777777457E-3</v>
      </c>
      <c r="L29" s="131">
        <v>180</v>
      </c>
      <c r="M29" s="70">
        <v>0.38611111111111113</v>
      </c>
      <c r="N29" s="70">
        <v>0.39305555555555555</v>
      </c>
      <c r="O29" s="70">
        <f t="shared" si="2"/>
        <v>6.9444444444444198E-3</v>
      </c>
      <c r="P29" s="131">
        <v>199</v>
      </c>
      <c r="Q29" s="121">
        <v>0.39999999999999997</v>
      </c>
      <c r="R29" s="121">
        <v>0.41666666666666669</v>
      </c>
      <c r="S29" s="70">
        <f t="shared" si="3"/>
        <v>1.6666666666666718E-2</v>
      </c>
      <c r="T29" s="131">
        <v>180</v>
      </c>
      <c r="U29" s="121">
        <v>0.43124999999999997</v>
      </c>
      <c r="V29" s="70">
        <v>0.43888888888888888</v>
      </c>
      <c r="W29" s="70">
        <f t="shared" si="4"/>
        <v>7.6388888888889173E-3</v>
      </c>
      <c r="X29" s="129">
        <v>180</v>
      </c>
      <c r="Y29" s="70">
        <v>0.45</v>
      </c>
      <c r="Z29" s="70">
        <v>0.46180555555555558</v>
      </c>
      <c r="AA29" s="70">
        <f t="shared" si="5"/>
        <v>1.1805555555555569E-2</v>
      </c>
      <c r="AB29" s="63"/>
      <c r="AC29" s="70">
        <v>0.5229166666666667</v>
      </c>
      <c r="AD29" s="70">
        <v>0.52361111111111114</v>
      </c>
      <c r="AE29" s="70">
        <f t="shared" si="6"/>
        <v>6.9444444444444198E-4</v>
      </c>
      <c r="AF29" s="72">
        <f t="shared" si="7"/>
        <v>5.555555555555558E-2</v>
      </c>
      <c r="AG29" s="71">
        <f t="shared" si="8"/>
        <v>1739.1147361111111</v>
      </c>
      <c r="AH29" s="72">
        <f t="shared" si="9"/>
        <v>2.0364341172261255E-2</v>
      </c>
      <c r="AI29" s="72">
        <f t="shared" si="10"/>
        <v>7.5919896727816835E-2</v>
      </c>
      <c r="AJ29" s="74"/>
    </row>
    <row r="30" spans="1:40">
      <c r="A30" s="21" t="s">
        <v>63</v>
      </c>
      <c r="B30" s="42" t="s">
        <v>72</v>
      </c>
      <c r="C30" s="82" t="s">
        <v>73</v>
      </c>
      <c r="D30" s="85" t="s">
        <v>21</v>
      </c>
      <c r="E30" s="121">
        <v>0.40902777777777777</v>
      </c>
      <c r="F30" s="121">
        <v>0.41180555555555554</v>
      </c>
      <c r="G30" s="70">
        <f t="shared" si="0"/>
        <v>2.7777777777777679E-3</v>
      </c>
      <c r="H30" s="121">
        <f>A30+180/1440</f>
        <v>1000.125</v>
      </c>
      <c r="I30" s="70">
        <v>0.43194444444444446</v>
      </c>
      <c r="J30" s="70">
        <v>0.43611111111111112</v>
      </c>
      <c r="K30" s="70">
        <f t="shared" si="1"/>
        <v>4.1666666666666519E-3</v>
      </c>
      <c r="L30" s="131">
        <v>180</v>
      </c>
      <c r="M30" s="70">
        <v>0.45694444444444443</v>
      </c>
      <c r="N30" s="70">
        <v>0.46111111111111108</v>
      </c>
      <c r="O30" s="70">
        <f t="shared" si="2"/>
        <v>4.1666666666666519E-3</v>
      </c>
      <c r="P30" s="131">
        <v>199</v>
      </c>
      <c r="Q30" s="121">
        <v>0.49305555555555558</v>
      </c>
      <c r="R30" s="121">
        <v>0.49722222222222223</v>
      </c>
      <c r="S30" s="70">
        <f t="shared" si="3"/>
        <v>4.1666666666666519E-3</v>
      </c>
      <c r="T30" s="131">
        <v>180</v>
      </c>
      <c r="U30" s="121">
        <v>0.52361111111111114</v>
      </c>
      <c r="V30" s="70">
        <v>0.52569444444444446</v>
      </c>
      <c r="W30" s="70">
        <f t="shared" si="4"/>
        <v>2.0833333333333259E-3</v>
      </c>
      <c r="X30" s="129">
        <v>152.94999999999999</v>
      </c>
      <c r="Y30" s="70">
        <v>0.52986111111111112</v>
      </c>
      <c r="Z30" s="70">
        <v>0.53680555555555554</v>
      </c>
      <c r="AA30" s="70">
        <f t="shared" si="5"/>
        <v>6.9444444444444198E-3</v>
      </c>
      <c r="AB30" s="63">
        <v>5</v>
      </c>
      <c r="AC30" s="70">
        <v>0.57500000000000007</v>
      </c>
      <c r="AD30" s="70">
        <v>0.5756944444444444</v>
      </c>
      <c r="AE30" s="70">
        <f t="shared" si="6"/>
        <v>6.9444444444433095E-4</v>
      </c>
      <c r="AF30" s="72">
        <f t="shared" si="7"/>
        <v>2.49999999999998E-2</v>
      </c>
      <c r="AG30" s="71">
        <f t="shared" si="8"/>
        <v>1707.075</v>
      </c>
      <c r="AH30" s="72">
        <f t="shared" si="9"/>
        <v>1.9989168618266981E-2</v>
      </c>
      <c r="AI30" s="72">
        <f t="shared" si="10"/>
        <v>4.4989168618266781E-2</v>
      </c>
      <c r="AJ30" s="74"/>
    </row>
    <row r="31" spans="1:40" s="9" customFormat="1" ht="19.2" customHeight="1">
      <c r="A31" s="22" t="s">
        <v>74</v>
      </c>
      <c r="B31" s="42" t="s">
        <v>75</v>
      </c>
      <c r="C31" s="83" t="s">
        <v>76</v>
      </c>
      <c r="D31" s="86" t="s">
        <v>21</v>
      </c>
      <c r="E31" s="121">
        <v>0.54513888888888895</v>
      </c>
      <c r="F31" s="121">
        <v>0.54583333333333328</v>
      </c>
      <c r="G31" s="70">
        <f t="shared" si="0"/>
        <v>6.9444444444433095E-4</v>
      </c>
      <c r="H31" s="124">
        <f>A31+180/1440</f>
        <v>1020.125</v>
      </c>
      <c r="I31" s="70">
        <v>0.58472222222222225</v>
      </c>
      <c r="J31" s="70">
        <v>0.59027777777777779</v>
      </c>
      <c r="K31" s="70">
        <f t="shared" si="1"/>
        <v>5.5555555555555358E-3</v>
      </c>
      <c r="L31" s="131">
        <v>180</v>
      </c>
      <c r="M31" s="70">
        <v>0.59861111111111109</v>
      </c>
      <c r="N31" s="70">
        <v>0.60416666666666663</v>
      </c>
      <c r="O31" s="70">
        <f t="shared" si="2"/>
        <v>5.5555555555555358E-3</v>
      </c>
      <c r="P31" s="131">
        <v>199</v>
      </c>
      <c r="Q31" s="121">
        <v>0.61458333333333337</v>
      </c>
      <c r="R31" s="121">
        <v>0.62222222222222223</v>
      </c>
      <c r="S31" s="70">
        <f t="shared" si="3"/>
        <v>7.6388888888888618E-3</v>
      </c>
      <c r="T31" s="70">
        <f>A31+180/1440</f>
        <v>1020.125</v>
      </c>
      <c r="U31" s="121">
        <v>0.63611111111111118</v>
      </c>
      <c r="V31" s="70">
        <v>0.64097222222222217</v>
      </c>
      <c r="W31" s="70">
        <f t="shared" si="4"/>
        <v>4.8611111111109828E-3</v>
      </c>
      <c r="X31" s="129">
        <v>180</v>
      </c>
      <c r="Y31" s="70">
        <v>0.65277777777777779</v>
      </c>
      <c r="Z31" s="70">
        <v>0.66666666666666663</v>
      </c>
      <c r="AA31" s="70">
        <f t="shared" si="5"/>
        <v>1.388888888888884E-2</v>
      </c>
      <c r="AB31" s="63">
        <v>5</v>
      </c>
      <c r="AC31" s="70">
        <v>0.50763888888888886</v>
      </c>
      <c r="AD31" s="70">
        <v>0.50763888888888886</v>
      </c>
      <c r="AE31" s="70">
        <f t="shared" si="6"/>
        <v>0</v>
      </c>
      <c r="AF31" s="72">
        <f t="shared" si="7"/>
        <v>3.8194444444444087E-2</v>
      </c>
      <c r="AG31" s="71">
        <f t="shared" si="8"/>
        <v>2594.25</v>
      </c>
      <c r="AH31" s="72">
        <f t="shared" si="9"/>
        <v>3.0377634660421544E-2</v>
      </c>
      <c r="AI31" s="72">
        <f t="shared" si="10"/>
        <v>6.8572079104865624E-2</v>
      </c>
      <c r="AJ31" s="74"/>
    </row>
    <row r="32" spans="1:40">
      <c r="A32" s="22" t="s">
        <v>74</v>
      </c>
      <c r="B32" s="42" t="s">
        <v>77</v>
      </c>
      <c r="C32" s="58" t="s">
        <v>78</v>
      </c>
      <c r="D32" s="137" t="s">
        <v>21</v>
      </c>
      <c r="E32" s="70">
        <v>0.32916666666666666</v>
      </c>
      <c r="F32" s="70">
        <v>0.33194444444444443</v>
      </c>
      <c r="G32" s="70">
        <f t="shared" si="0"/>
        <v>2.7777777777777679E-3</v>
      </c>
      <c r="H32" s="123">
        <f>A32+131/1440</f>
        <v>1020.0909722222223</v>
      </c>
      <c r="I32" s="70">
        <v>0.3430555555555555</v>
      </c>
      <c r="J32" s="70">
        <v>0.34861111111111115</v>
      </c>
      <c r="K32" s="70">
        <f t="shared" si="1"/>
        <v>5.5555555555556468E-3</v>
      </c>
      <c r="L32" s="70">
        <f>A31+107.09/1440</f>
        <v>1020.0743680555555</v>
      </c>
      <c r="M32" s="70">
        <v>0.3576388888888889</v>
      </c>
      <c r="N32" s="70">
        <v>0.36319444444444443</v>
      </c>
      <c r="O32" s="70">
        <f t="shared" si="2"/>
        <v>5.5555555555555358E-3</v>
      </c>
      <c r="P32" s="129">
        <v>199</v>
      </c>
      <c r="Q32" s="121">
        <v>0.3659722222222222</v>
      </c>
      <c r="R32" s="121">
        <v>0.38055555555555554</v>
      </c>
      <c r="S32" s="70">
        <f t="shared" si="3"/>
        <v>1.4583333333333337E-2</v>
      </c>
      <c r="T32" s="131">
        <v>180</v>
      </c>
      <c r="U32" s="121">
        <v>0.39027777777777778</v>
      </c>
      <c r="V32" s="70">
        <v>0.39374999999999999</v>
      </c>
      <c r="W32" s="70">
        <f t="shared" si="4"/>
        <v>3.4722222222222099E-3</v>
      </c>
      <c r="X32" s="129">
        <v>173.03</v>
      </c>
      <c r="Y32" s="70">
        <v>0.40277777777777773</v>
      </c>
      <c r="Z32" s="70">
        <v>0.41250000000000003</v>
      </c>
      <c r="AA32" s="70">
        <f t="shared" si="5"/>
        <v>9.7222222222222987E-3</v>
      </c>
      <c r="AB32" s="63"/>
      <c r="AC32" s="70">
        <v>0.57500000000000007</v>
      </c>
      <c r="AD32" s="70">
        <v>0.5756944444444444</v>
      </c>
      <c r="AE32" s="70">
        <f t="shared" si="6"/>
        <v>6.9444444444433095E-4</v>
      </c>
      <c r="AF32" s="72">
        <f t="shared" si="7"/>
        <v>4.2361111111111127E-2</v>
      </c>
      <c r="AG32" s="71">
        <f t="shared" si="8"/>
        <v>2592.1953402777781</v>
      </c>
      <c r="AH32" s="72">
        <f t="shared" si="9"/>
        <v>3.0353575413088738E-2</v>
      </c>
      <c r="AI32" s="72">
        <f t="shared" si="10"/>
        <v>7.2714686524199865E-2</v>
      </c>
      <c r="AJ32" s="74"/>
    </row>
    <row r="33" spans="1:36" s="8" customFormat="1">
      <c r="A33" s="22" t="s">
        <v>74</v>
      </c>
      <c r="B33" s="42" t="s">
        <v>79</v>
      </c>
      <c r="C33" s="58" t="s">
        <v>80</v>
      </c>
      <c r="D33" s="152" t="s">
        <v>21</v>
      </c>
      <c r="E33" s="121">
        <v>0.32708333333333334</v>
      </c>
      <c r="F33" s="121">
        <v>0.32847222222222222</v>
      </c>
      <c r="G33" s="70">
        <f t="shared" si="0"/>
        <v>1.388888888888884E-3</v>
      </c>
      <c r="H33" s="123">
        <f>A33+180/1440</f>
        <v>1020.125</v>
      </c>
      <c r="I33" s="70">
        <v>0.3354166666666667</v>
      </c>
      <c r="J33" s="70">
        <v>0.34027777777777773</v>
      </c>
      <c r="K33" s="70">
        <f t="shared" si="1"/>
        <v>4.8611111111110383E-3</v>
      </c>
      <c r="L33" s="70">
        <f>A32+124.35/1440</f>
        <v>1020.0863541666666</v>
      </c>
      <c r="M33" s="70">
        <v>0.35416666666666669</v>
      </c>
      <c r="N33" s="70">
        <v>0.35833333333333334</v>
      </c>
      <c r="O33" s="70">
        <f t="shared" si="2"/>
        <v>4.1666666666666519E-3</v>
      </c>
      <c r="P33" s="131">
        <v>199</v>
      </c>
      <c r="Q33" s="121">
        <v>0.3743055555555555</v>
      </c>
      <c r="R33" s="121">
        <v>0.3756944444444445</v>
      </c>
      <c r="S33" s="70">
        <f t="shared" si="3"/>
        <v>1.388888888888995E-3</v>
      </c>
      <c r="T33" s="131">
        <v>180</v>
      </c>
      <c r="U33" s="121">
        <v>0.38541666666666669</v>
      </c>
      <c r="V33" s="70">
        <v>0.38819444444444445</v>
      </c>
      <c r="W33" s="70">
        <f t="shared" si="4"/>
        <v>2.7777777777777679E-3</v>
      </c>
      <c r="X33" s="129">
        <v>175.01</v>
      </c>
      <c r="Y33" s="70">
        <v>0.39861111111111108</v>
      </c>
      <c r="Z33" s="70">
        <v>0.40486111111111112</v>
      </c>
      <c r="AA33" s="70">
        <f t="shared" si="5"/>
        <v>6.2500000000000333E-3</v>
      </c>
      <c r="AB33" s="63">
        <v>5</v>
      </c>
      <c r="AC33" s="70">
        <v>0.42222222222222222</v>
      </c>
      <c r="AD33" s="70">
        <v>0.42291666666666666</v>
      </c>
      <c r="AE33" s="70">
        <f t="shared" si="6"/>
        <v>6.9444444444444198E-4</v>
      </c>
      <c r="AF33" s="72">
        <f t="shared" si="7"/>
        <v>2.1527777777777812E-2</v>
      </c>
      <c r="AG33" s="71">
        <f t="shared" si="8"/>
        <v>2589.221354166667</v>
      </c>
      <c r="AH33" s="72">
        <f t="shared" si="9"/>
        <v>3.0318751219750199E-2</v>
      </c>
      <c r="AI33" s="72">
        <f t="shared" si="10"/>
        <v>5.1846528997528007E-2</v>
      </c>
      <c r="AJ33" s="74"/>
    </row>
    <row r="34" spans="1:36" s="8" customFormat="1" ht="24.45" customHeight="1">
      <c r="A34" s="23" t="s">
        <v>81</v>
      </c>
      <c r="B34" s="42" t="s">
        <v>82</v>
      </c>
      <c r="C34" s="58" t="s">
        <v>83</v>
      </c>
      <c r="D34" s="137" t="s">
        <v>21</v>
      </c>
      <c r="E34" s="121">
        <v>0.33888888888888885</v>
      </c>
      <c r="F34" s="121">
        <v>0.34166666666666662</v>
      </c>
      <c r="G34" s="70">
        <f t="shared" si="0"/>
        <v>2.7777777777777679E-3</v>
      </c>
      <c r="H34" s="121">
        <f>A34+141.94/1440</f>
        <v>1040.0985694444444</v>
      </c>
      <c r="I34" s="70">
        <v>0.37708333333333338</v>
      </c>
      <c r="J34" s="70">
        <v>0.38125000000000003</v>
      </c>
      <c r="K34" s="70">
        <f t="shared" si="1"/>
        <v>4.1666666666666519E-3</v>
      </c>
      <c r="L34" s="70">
        <f>A33+76.55/1440</f>
        <v>1020.0531597222222</v>
      </c>
      <c r="M34" s="70">
        <v>0.38958333333333334</v>
      </c>
      <c r="N34" s="70">
        <v>0.39513888888888887</v>
      </c>
      <c r="O34" s="70">
        <f t="shared" si="2"/>
        <v>5.5555555555555358E-3</v>
      </c>
      <c r="P34" s="131">
        <v>199</v>
      </c>
      <c r="Q34" s="121">
        <v>0.41319444444444442</v>
      </c>
      <c r="R34" s="121">
        <v>0.41875000000000001</v>
      </c>
      <c r="S34" s="70">
        <f t="shared" si="3"/>
        <v>5.5555555555555913E-3</v>
      </c>
      <c r="T34" s="70">
        <f>A34+166.68/1440</f>
        <v>1040.1157499999999</v>
      </c>
      <c r="U34" s="121">
        <v>0.42430555555555555</v>
      </c>
      <c r="V34" s="70">
        <v>0.44305555555555554</v>
      </c>
      <c r="W34" s="70">
        <f t="shared" si="4"/>
        <v>1.8749999999999989E-2</v>
      </c>
      <c r="X34" s="129">
        <v>136.37</v>
      </c>
      <c r="Y34" s="70">
        <v>0.45416666666666666</v>
      </c>
      <c r="Z34" s="70">
        <v>0.46458333333333335</v>
      </c>
      <c r="AA34" s="70">
        <f t="shared" si="5"/>
        <v>1.0416666666666685E-2</v>
      </c>
      <c r="AB34" s="63"/>
      <c r="AC34" s="70">
        <v>0.42777777777777781</v>
      </c>
      <c r="AD34" s="70">
        <v>0.42777777777777781</v>
      </c>
      <c r="AE34" s="70">
        <f t="shared" si="6"/>
        <v>0</v>
      </c>
      <c r="AF34" s="72">
        <f t="shared" si="7"/>
        <v>4.7222222222222221E-2</v>
      </c>
      <c r="AG34" s="71">
        <f t="shared" si="8"/>
        <v>3435.6374791666663</v>
      </c>
      <c r="AH34" s="72">
        <f t="shared" si="9"/>
        <v>4.0229947062841526E-2</v>
      </c>
      <c r="AI34" s="72">
        <f t="shared" si="10"/>
        <v>8.7452169285063747E-2</v>
      </c>
      <c r="AJ34" s="74"/>
    </row>
    <row r="35" spans="1:36" ht="24.45" customHeight="1">
      <c r="A35" s="23" t="s">
        <v>81</v>
      </c>
      <c r="B35" s="42" t="s">
        <v>84</v>
      </c>
      <c r="C35" s="57" t="s">
        <v>85</v>
      </c>
      <c r="D35" s="44" t="s">
        <v>21</v>
      </c>
      <c r="E35" s="121">
        <v>0.33611111111111108</v>
      </c>
      <c r="F35" s="121">
        <v>0.33958333333333335</v>
      </c>
      <c r="G35" s="70">
        <f t="shared" si="0"/>
        <v>3.4722222222222654E-3</v>
      </c>
      <c r="H35" s="121">
        <f>A35+169.44/1440</f>
        <v>1040.1176666666668</v>
      </c>
      <c r="I35" s="70">
        <v>0.37083333333333335</v>
      </c>
      <c r="J35" s="70">
        <v>0.37847222222222227</v>
      </c>
      <c r="K35" s="70">
        <f t="shared" si="1"/>
        <v>7.6388888888889173E-3</v>
      </c>
      <c r="L35" s="70">
        <f>A34+87/1440</f>
        <v>1040.0604166666667</v>
      </c>
      <c r="M35" s="70">
        <v>0.39166666666666666</v>
      </c>
      <c r="N35" s="70">
        <v>0.39861111111111108</v>
      </c>
      <c r="O35" s="70">
        <f t="shared" si="2"/>
        <v>6.9444444444444198E-3</v>
      </c>
      <c r="P35" s="131">
        <v>199</v>
      </c>
      <c r="Q35" s="121">
        <v>0.42152777777777778</v>
      </c>
      <c r="R35" s="121">
        <v>0.43333333333333335</v>
      </c>
      <c r="S35" s="70">
        <f t="shared" si="3"/>
        <v>1.1805555555555569E-2</v>
      </c>
      <c r="T35" s="131">
        <v>180</v>
      </c>
      <c r="U35" s="121">
        <v>0.45624999999999999</v>
      </c>
      <c r="V35" s="70">
        <v>0.46458333333333335</v>
      </c>
      <c r="W35" s="70">
        <f t="shared" si="4"/>
        <v>8.3333333333333592E-3</v>
      </c>
      <c r="X35" s="131">
        <v>180</v>
      </c>
      <c r="Y35" s="70">
        <v>0.47569444444444442</v>
      </c>
      <c r="Z35" s="70">
        <v>0.48819444444444443</v>
      </c>
      <c r="AA35" s="70">
        <f t="shared" si="5"/>
        <v>1.2500000000000011E-2</v>
      </c>
      <c r="AB35" s="63"/>
      <c r="AC35" s="70">
        <v>0.58194444444444449</v>
      </c>
      <c r="AD35" s="70">
        <v>0.58263888888888882</v>
      </c>
      <c r="AE35" s="70">
        <f t="shared" si="6"/>
        <v>6.9444444444433095E-4</v>
      </c>
      <c r="AF35" s="72">
        <f t="shared" si="7"/>
        <v>5.1388888888888873E-2</v>
      </c>
      <c r="AG35" s="71">
        <f t="shared" si="8"/>
        <v>2639.1780833333332</v>
      </c>
      <c r="AH35" s="72">
        <f t="shared" si="9"/>
        <v>3.0903724629195939E-2</v>
      </c>
      <c r="AI35" s="72">
        <f t="shared" si="10"/>
        <v>8.2292613518084812E-2</v>
      </c>
      <c r="AJ35" s="74"/>
    </row>
    <row r="36" spans="1:36" s="8" customFormat="1" ht="20.55" customHeight="1">
      <c r="A36" s="23" t="s">
        <v>81</v>
      </c>
      <c r="B36" s="42" t="s">
        <v>86</v>
      </c>
      <c r="C36" s="58" t="s">
        <v>87</v>
      </c>
      <c r="D36" s="152" t="s">
        <v>21</v>
      </c>
      <c r="E36" s="121">
        <v>0.34652777777777777</v>
      </c>
      <c r="F36" s="121">
        <v>0.34791666666666665</v>
      </c>
      <c r="G36" s="70">
        <f t="shared" si="0"/>
        <v>1.388888888888884E-3</v>
      </c>
      <c r="H36" s="121">
        <f>A36+157.19/1440</f>
        <v>1040.1091597222223</v>
      </c>
      <c r="I36" s="70">
        <v>0.38541666666666669</v>
      </c>
      <c r="J36" s="70">
        <v>0.39027777777777778</v>
      </c>
      <c r="K36" s="70">
        <f t="shared" si="1"/>
        <v>4.8611111111110938E-3</v>
      </c>
      <c r="L36" s="70">
        <f>A35+126.31/1440</f>
        <v>1040.0877152777778</v>
      </c>
      <c r="M36" s="70">
        <v>0.40277777777777773</v>
      </c>
      <c r="N36" s="70">
        <v>0.41041666666666665</v>
      </c>
      <c r="O36" s="70">
        <f t="shared" si="2"/>
        <v>7.6388888888889173E-3</v>
      </c>
      <c r="P36" s="131">
        <v>199</v>
      </c>
      <c r="Q36" s="121">
        <v>0.43194444444444446</v>
      </c>
      <c r="R36" s="121">
        <v>0.43888888888888888</v>
      </c>
      <c r="S36" s="70">
        <f t="shared" si="3"/>
        <v>6.9444444444444198E-3</v>
      </c>
      <c r="T36" s="131">
        <v>180</v>
      </c>
      <c r="U36" s="121">
        <v>0.4513888888888889</v>
      </c>
      <c r="V36" s="70">
        <v>0.45624999999999999</v>
      </c>
      <c r="W36" s="70">
        <f t="shared" si="4"/>
        <v>4.8611111111110938E-3</v>
      </c>
      <c r="X36" s="129">
        <v>129.27000000000001</v>
      </c>
      <c r="Y36" s="70">
        <v>0.46388888888888885</v>
      </c>
      <c r="Z36" s="70">
        <v>0.47569444444444442</v>
      </c>
      <c r="AA36" s="70">
        <f t="shared" si="5"/>
        <v>1.1805555555555569E-2</v>
      </c>
      <c r="AB36" s="63">
        <v>5</v>
      </c>
      <c r="AC36" s="70">
        <v>0.6166666666666667</v>
      </c>
      <c r="AD36" s="70">
        <v>0.61736111111111114</v>
      </c>
      <c r="AE36" s="70">
        <f t="shared" si="6"/>
        <v>6.9444444444444198E-4</v>
      </c>
      <c r="AF36" s="72">
        <f t="shared" si="7"/>
        <v>3.819444444444442E-2</v>
      </c>
      <c r="AG36" s="71">
        <f t="shared" si="8"/>
        <v>2583.4668750000001</v>
      </c>
      <c r="AH36" s="72">
        <f t="shared" si="9"/>
        <v>3.025136855971897E-2</v>
      </c>
      <c r="AI36" s="72">
        <f t="shared" si="10"/>
        <v>6.8445813004163386E-2</v>
      </c>
      <c r="AJ36" s="74"/>
    </row>
    <row r="37" spans="1:36" ht="20.55" customHeight="1">
      <c r="A37" s="23" t="s">
        <v>81</v>
      </c>
      <c r="B37" s="42" t="s">
        <v>88</v>
      </c>
      <c r="C37" s="58" t="s">
        <v>89</v>
      </c>
      <c r="D37" s="81" t="s">
        <v>21</v>
      </c>
      <c r="E37" s="121">
        <v>0.38055555555555554</v>
      </c>
      <c r="F37" s="121">
        <v>0.38263888888888892</v>
      </c>
      <c r="G37" s="70">
        <f t="shared" si="0"/>
        <v>2.0833333333333814E-3</v>
      </c>
      <c r="H37" s="121">
        <f>A37+1/1440</f>
        <v>1040.0006944444444</v>
      </c>
      <c r="I37" s="70">
        <v>0.40625</v>
      </c>
      <c r="J37" s="70">
        <v>0.41111111111111115</v>
      </c>
      <c r="K37" s="70"/>
      <c r="L37" s="70">
        <f>A36+133.8/1440</f>
        <v>1040.0929166666667</v>
      </c>
      <c r="M37" s="70">
        <v>0.4284722222222222</v>
      </c>
      <c r="N37" s="70">
        <v>0.43402777777777773</v>
      </c>
      <c r="O37" s="70">
        <f t="shared" si="2"/>
        <v>5.5555555555555358E-3</v>
      </c>
      <c r="P37" s="131">
        <v>199</v>
      </c>
      <c r="Q37" s="121">
        <v>0.45902777777777781</v>
      </c>
      <c r="R37" s="121">
        <v>0.46597222222222223</v>
      </c>
      <c r="S37" s="70">
        <f t="shared" si="3"/>
        <v>6.9444444444444198E-3</v>
      </c>
      <c r="T37" s="131">
        <v>180</v>
      </c>
      <c r="U37" s="121">
        <v>0.48749999999999999</v>
      </c>
      <c r="V37" s="70">
        <v>0.4909722222222222</v>
      </c>
      <c r="W37" s="70">
        <f t="shared" si="4"/>
        <v>3.4722222222222099E-3</v>
      </c>
      <c r="X37" s="129">
        <v>118.97</v>
      </c>
      <c r="Y37" s="70">
        <v>0.49722222222222223</v>
      </c>
      <c r="Z37" s="70">
        <v>0.50972222222222219</v>
      </c>
      <c r="AA37" s="70">
        <f t="shared" si="5"/>
        <v>1.2499999999999956E-2</v>
      </c>
      <c r="AB37" s="63">
        <v>5</v>
      </c>
      <c r="AC37" s="70">
        <v>0.6166666666666667</v>
      </c>
      <c r="AD37" s="70">
        <v>0.61736111111111114</v>
      </c>
      <c r="AE37" s="70">
        <f t="shared" si="6"/>
        <v>6.9444444444444198E-4</v>
      </c>
      <c r="AF37" s="72">
        <f t="shared" si="7"/>
        <v>3.1249999999999944E-2</v>
      </c>
      <c r="AG37" s="71">
        <f t="shared" si="8"/>
        <v>2573.0636111111112</v>
      </c>
      <c r="AH37" s="72">
        <f t="shared" si="9"/>
        <v>3.0129550481394745E-2</v>
      </c>
      <c r="AI37" s="72">
        <f t="shared" si="10"/>
        <v>6.1379550481394693E-2</v>
      </c>
      <c r="AJ37" s="74"/>
    </row>
    <row r="38" spans="1:36" s="8" customFormat="1" ht="20.55" customHeight="1">
      <c r="A38" s="23" t="s">
        <v>81</v>
      </c>
      <c r="B38" s="42" t="s">
        <v>90</v>
      </c>
      <c r="C38" s="82" t="s">
        <v>91</v>
      </c>
      <c r="D38" s="85" t="s">
        <v>21</v>
      </c>
      <c r="E38" s="121">
        <v>0.39097222222222222</v>
      </c>
      <c r="F38" s="121">
        <v>0.3923611111111111</v>
      </c>
      <c r="G38" s="70">
        <f t="shared" si="0"/>
        <v>1.388888888888884E-3</v>
      </c>
      <c r="H38" s="121">
        <f>A38+1/1440</f>
        <v>1040.0006944444444</v>
      </c>
      <c r="I38" s="70">
        <v>0.41250000000000003</v>
      </c>
      <c r="J38" s="70">
        <v>0.41944444444444445</v>
      </c>
      <c r="K38" s="70">
        <f t="shared" ref="K38:K57" si="11">SUM(J38-I38)</f>
        <v>6.9444444444444198E-3</v>
      </c>
      <c r="L38" s="70">
        <f>A37+88.89/1440</f>
        <v>1040.0617291666667</v>
      </c>
      <c r="M38" s="70">
        <v>0.43402777777777773</v>
      </c>
      <c r="N38" s="70">
        <v>0.4381944444444445</v>
      </c>
      <c r="O38" s="70">
        <f t="shared" si="2"/>
        <v>4.1666666666667629E-3</v>
      </c>
      <c r="P38" s="131">
        <v>199</v>
      </c>
      <c r="Q38" s="121">
        <v>0.46875</v>
      </c>
      <c r="R38" s="121">
        <v>0.47361111111111115</v>
      </c>
      <c r="S38" s="70">
        <f t="shared" si="3"/>
        <v>4.8611111111111494E-3</v>
      </c>
      <c r="T38" s="131">
        <v>180</v>
      </c>
      <c r="U38" s="121">
        <v>0.49583333333333335</v>
      </c>
      <c r="V38" s="70">
        <v>0.4993055555555555</v>
      </c>
      <c r="W38" s="70">
        <f t="shared" si="4"/>
        <v>3.4722222222221544E-3</v>
      </c>
      <c r="X38" s="129">
        <v>155.62</v>
      </c>
      <c r="Y38" s="70">
        <v>0.50624999999999998</v>
      </c>
      <c r="Z38" s="70">
        <v>0.51597222222222217</v>
      </c>
      <c r="AA38" s="70">
        <f t="shared" si="5"/>
        <v>9.7222222222221877E-3</v>
      </c>
      <c r="AB38" s="63"/>
      <c r="AC38" s="70">
        <v>0.60486111111111118</v>
      </c>
      <c r="AD38" s="70">
        <v>0.60486111111111118</v>
      </c>
      <c r="AE38" s="70">
        <f t="shared" si="6"/>
        <v>0</v>
      </c>
      <c r="AF38" s="72">
        <f t="shared" si="7"/>
        <v>3.0555555555555558E-2</v>
      </c>
      <c r="AG38" s="71">
        <f t="shared" si="8"/>
        <v>2614.6824236111111</v>
      </c>
      <c r="AH38" s="72">
        <f t="shared" si="9"/>
        <v>3.0616890206219098E-2</v>
      </c>
      <c r="AI38" s="72">
        <f t="shared" si="10"/>
        <v>6.1172445761774656E-2</v>
      </c>
      <c r="AJ38" s="74"/>
    </row>
    <row r="39" spans="1:36" ht="20.55" customHeight="1">
      <c r="A39" s="22" t="s">
        <v>92</v>
      </c>
      <c r="B39" s="42" t="s">
        <v>93</v>
      </c>
      <c r="C39" s="82" t="s">
        <v>94</v>
      </c>
      <c r="D39" s="85" t="s">
        <v>21</v>
      </c>
      <c r="E39" s="121">
        <v>0.41388888888888892</v>
      </c>
      <c r="F39" s="121">
        <v>0.41736111111111113</v>
      </c>
      <c r="G39" s="70">
        <f t="shared" si="0"/>
        <v>3.4722222222222099E-3</v>
      </c>
      <c r="H39" s="121">
        <f>A39+138.28/1440</f>
        <v>1100.0960277777779</v>
      </c>
      <c r="I39" s="70">
        <v>0.44097222222222227</v>
      </c>
      <c r="J39" s="70">
        <v>0.45208333333333334</v>
      </c>
      <c r="K39" s="70">
        <f t="shared" si="11"/>
        <v>1.1111111111111072E-2</v>
      </c>
      <c r="L39" s="70">
        <f>A38+113.31/1440</f>
        <v>1040.0786874999999</v>
      </c>
      <c r="M39" s="70">
        <v>0.46666666666666662</v>
      </c>
      <c r="N39" s="70">
        <v>0.47291666666666665</v>
      </c>
      <c r="O39" s="70">
        <f t="shared" si="2"/>
        <v>6.2500000000000333E-3</v>
      </c>
      <c r="P39" s="131">
        <v>199</v>
      </c>
      <c r="Q39" s="121">
        <v>0.50694444444444442</v>
      </c>
      <c r="R39" s="121">
        <v>0.51388888888888895</v>
      </c>
      <c r="S39" s="70">
        <f t="shared" si="3"/>
        <v>6.9444444444445308E-3</v>
      </c>
      <c r="T39" s="131">
        <v>180</v>
      </c>
      <c r="U39" s="121">
        <v>0.53541666666666665</v>
      </c>
      <c r="V39" s="70">
        <v>0.5444444444444444</v>
      </c>
      <c r="W39" s="70">
        <f t="shared" si="4"/>
        <v>9.0277777777777457E-3</v>
      </c>
      <c r="X39" s="129"/>
      <c r="Y39" s="70">
        <v>5.9027777777777783E-2</v>
      </c>
      <c r="Z39" s="70">
        <v>0.5708333333333333</v>
      </c>
      <c r="AA39" s="70">
        <f t="shared" si="5"/>
        <v>0.51180555555555551</v>
      </c>
      <c r="AB39" s="63"/>
      <c r="AC39" s="70">
        <v>0.62430555555555556</v>
      </c>
      <c r="AD39" s="70">
        <v>0.62569444444444444</v>
      </c>
      <c r="AE39" s="70">
        <f t="shared" si="6"/>
        <v>1.388888888888884E-3</v>
      </c>
      <c r="AF39" s="72">
        <f t="shared" si="7"/>
        <v>0.55000000000000004</v>
      </c>
      <c r="AG39" s="71">
        <f t="shared" si="8"/>
        <v>2519.174715277778</v>
      </c>
      <c r="AH39" s="72">
        <f t="shared" si="9"/>
        <v>2.9498532965781945E-2</v>
      </c>
      <c r="AI39" s="72">
        <f t="shared" si="10"/>
        <v>0.57949853296578202</v>
      </c>
      <c r="AJ39" s="74"/>
    </row>
    <row r="40" spans="1:36" s="8" customFormat="1" ht="22.2" customHeight="1">
      <c r="A40" s="22" t="s">
        <v>92</v>
      </c>
      <c r="B40" s="42" t="s">
        <v>95</v>
      </c>
      <c r="C40" s="83" t="s">
        <v>96</v>
      </c>
      <c r="D40" s="86" t="s">
        <v>21</v>
      </c>
      <c r="E40" s="121">
        <v>0.39097222222222222</v>
      </c>
      <c r="F40" s="121">
        <v>0.3923611111111111</v>
      </c>
      <c r="G40" s="70">
        <f t="shared" ref="G40:G57" si="12">SUM(F40-E40)</f>
        <v>1.388888888888884E-3</v>
      </c>
      <c r="H40" s="121">
        <f>A40+1/1440</f>
        <v>1100.0006944444444</v>
      </c>
      <c r="I40" s="70">
        <v>0.40972222222222227</v>
      </c>
      <c r="J40" s="70">
        <v>0.41388888888888892</v>
      </c>
      <c r="K40" s="70">
        <f t="shared" si="11"/>
        <v>4.1666666666666519E-3</v>
      </c>
      <c r="L40" s="70">
        <f>A39+118.03/1440</f>
        <v>1100.0819652777777</v>
      </c>
      <c r="M40" s="70">
        <v>0.43124999999999997</v>
      </c>
      <c r="N40" s="70">
        <v>0.43472222222222223</v>
      </c>
      <c r="O40" s="70">
        <f t="shared" ref="O40:O57" si="13">SUM(N40-M40)</f>
        <v>3.4722222222222654E-3</v>
      </c>
      <c r="P40" s="131">
        <v>199</v>
      </c>
      <c r="Q40" s="121">
        <v>0.46458333333333335</v>
      </c>
      <c r="R40" s="121">
        <v>0.46736111111111112</v>
      </c>
      <c r="S40" s="70">
        <f t="shared" ref="S40:S57" si="14">SUM(R40-Q40)</f>
        <v>2.7777777777777679E-3</v>
      </c>
      <c r="T40" s="131">
        <v>180</v>
      </c>
      <c r="U40" s="121">
        <v>0.4916666666666667</v>
      </c>
      <c r="V40" s="70">
        <v>0.49305555555555558</v>
      </c>
      <c r="W40" s="70">
        <f t="shared" ref="W40:W57" si="15">SUM(V40-U40)</f>
        <v>1.388888888888884E-3</v>
      </c>
      <c r="X40" s="129">
        <v>99.41</v>
      </c>
      <c r="Y40" s="70">
        <v>0.5</v>
      </c>
      <c r="Z40" s="70">
        <v>0.50555555555555554</v>
      </c>
      <c r="AA40" s="70">
        <f t="shared" ref="AA40:AA57" si="16">SUM(Z40-Y40)</f>
        <v>5.5555555555555358E-3</v>
      </c>
      <c r="AB40" s="63">
        <v>5</v>
      </c>
      <c r="AC40" s="70">
        <v>0.61041666666666672</v>
      </c>
      <c r="AD40" s="70">
        <v>0.61041666666666672</v>
      </c>
      <c r="AE40" s="70">
        <f t="shared" si="6"/>
        <v>0</v>
      </c>
      <c r="AF40" s="72">
        <f t="shared" si="7"/>
        <v>1.8749999999999989E-2</v>
      </c>
      <c r="AG40" s="71">
        <f t="shared" si="8"/>
        <v>2673.492659722222</v>
      </c>
      <c r="AH40" s="72">
        <f t="shared" si="9"/>
        <v>3.1305534657168878E-2</v>
      </c>
      <c r="AI40" s="72">
        <f t="shared" si="10"/>
        <v>5.0055534657168867E-2</v>
      </c>
      <c r="AJ40" s="74"/>
    </row>
    <row r="41" spans="1:36" ht="20.55" customHeight="1">
      <c r="A41" s="22" t="s">
        <v>92</v>
      </c>
      <c r="B41" s="42" t="s">
        <v>97</v>
      </c>
      <c r="C41" s="82" t="s">
        <v>98</v>
      </c>
      <c r="D41" s="85" t="s">
        <v>21</v>
      </c>
      <c r="E41" s="121">
        <v>0.4145833333333333</v>
      </c>
      <c r="F41" s="121">
        <v>0.41736111111111113</v>
      </c>
      <c r="G41" s="70">
        <f t="shared" si="12"/>
        <v>2.7777777777778234E-3</v>
      </c>
      <c r="H41" s="121">
        <f>A41+161.38/1440</f>
        <v>1100.1120694444444</v>
      </c>
      <c r="I41" s="70">
        <v>0.44444444444444442</v>
      </c>
      <c r="J41" s="70">
        <v>0.45208333333333334</v>
      </c>
      <c r="K41" s="70">
        <f t="shared" si="11"/>
        <v>7.6388888888889173E-3</v>
      </c>
      <c r="L41" s="70">
        <f>A40+129.7/1440</f>
        <v>1100.0900694444445</v>
      </c>
      <c r="M41" s="70">
        <v>0.46388888888888885</v>
      </c>
      <c r="N41" s="70">
        <v>0.47291666666666665</v>
      </c>
      <c r="O41" s="70">
        <f t="shared" si="13"/>
        <v>9.0277777777778012E-3</v>
      </c>
      <c r="P41" s="131">
        <v>199</v>
      </c>
      <c r="Q41" s="121">
        <v>0.50347222222222221</v>
      </c>
      <c r="R41" s="121">
        <v>0.51388888888888895</v>
      </c>
      <c r="S41" s="70">
        <f t="shared" si="14"/>
        <v>1.0416666666666741E-2</v>
      </c>
      <c r="T41" s="131">
        <v>180</v>
      </c>
      <c r="U41" s="121">
        <v>0.54027777777777775</v>
      </c>
      <c r="V41" s="70">
        <v>0.5444444444444444</v>
      </c>
      <c r="W41" s="70">
        <f t="shared" si="15"/>
        <v>4.1666666666666519E-3</v>
      </c>
      <c r="X41" s="129">
        <v>135.22</v>
      </c>
      <c r="Y41" s="70">
        <v>5.9027777777777783E-2</v>
      </c>
      <c r="Z41" s="70">
        <v>0.5708333333333333</v>
      </c>
      <c r="AA41" s="70">
        <f t="shared" si="16"/>
        <v>0.51180555555555551</v>
      </c>
      <c r="AB41" s="63">
        <v>5</v>
      </c>
      <c r="AC41" s="70">
        <v>0.5541666666666667</v>
      </c>
      <c r="AD41" s="70">
        <v>0.59652777777777777</v>
      </c>
      <c r="AE41" s="70">
        <f t="shared" si="6"/>
        <v>4.2361111111111072E-2</v>
      </c>
      <c r="AF41" s="72">
        <f t="shared" si="7"/>
        <v>0.58819444444444446</v>
      </c>
      <c r="AG41" s="71">
        <f t="shared" si="8"/>
        <v>2709.4221388888886</v>
      </c>
      <c r="AH41" s="72">
        <f t="shared" si="9"/>
        <v>3.1726254553734061E-2</v>
      </c>
      <c r="AI41" s="72">
        <f t="shared" si="10"/>
        <v>0.61992069899817848</v>
      </c>
      <c r="AJ41" s="74"/>
    </row>
    <row r="42" spans="1:36" s="8" customFormat="1" ht="20.55" customHeight="1">
      <c r="A42" s="21" t="s">
        <v>99</v>
      </c>
      <c r="B42" s="42" t="s">
        <v>100</v>
      </c>
      <c r="C42" s="82" t="s">
        <v>101</v>
      </c>
      <c r="D42" s="85" t="s">
        <v>21</v>
      </c>
      <c r="E42" s="121">
        <v>0.32916666666666666</v>
      </c>
      <c r="F42" s="121">
        <v>0.33194444444444443</v>
      </c>
      <c r="G42" s="70">
        <f t="shared" si="12"/>
        <v>2.7777777777777679E-3</v>
      </c>
      <c r="H42" s="121">
        <f>A42+147.04/1440</f>
        <v>1120.1021111111111</v>
      </c>
      <c r="I42" s="70">
        <v>0.35416666666666669</v>
      </c>
      <c r="J42" s="70">
        <v>0.35972222222222222</v>
      </c>
      <c r="K42" s="70">
        <f t="shared" si="11"/>
        <v>5.5555555555555358E-3</v>
      </c>
      <c r="L42" s="70">
        <f>A41+98.33/1440</f>
        <v>1100.0682847222222</v>
      </c>
      <c r="M42" s="70">
        <v>0.37013888888888885</v>
      </c>
      <c r="N42" s="70">
        <v>0.375</v>
      </c>
      <c r="O42" s="70">
        <f t="shared" si="13"/>
        <v>4.8611111111111494E-3</v>
      </c>
      <c r="P42" s="131">
        <v>199</v>
      </c>
      <c r="Q42" s="121">
        <v>0.38958333333333334</v>
      </c>
      <c r="R42" s="121">
        <v>0.39583333333333331</v>
      </c>
      <c r="S42" s="70">
        <f t="shared" si="14"/>
        <v>6.2499999999999778E-3</v>
      </c>
      <c r="T42" s="131">
        <v>180</v>
      </c>
      <c r="U42" s="121">
        <v>0.4055555555555555</v>
      </c>
      <c r="V42" s="70">
        <v>0.40972222222222227</v>
      </c>
      <c r="W42" s="70">
        <f t="shared" si="15"/>
        <v>4.1666666666667629E-3</v>
      </c>
      <c r="X42" s="129">
        <v>68.760000000000005</v>
      </c>
      <c r="Y42" s="70">
        <v>0.4145833333333333</v>
      </c>
      <c r="Z42" s="70">
        <v>0.42430555555555555</v>
      </c>
      <c r="AA42" s="70">
        <f t="shared" si="16"/>
        <v>9.7222222222222432E-3</v>
      </c>
      <c r="AB42" s="63"/>
      <c r="AC42" s="70">
        <v>0.625</v>
      </c>
      <c r="AD42" s="70">
        <v>0.62569444444444444</v>
      </c>
      <c r="AE42" s="70">
        <f t="shared" si="6"/>
        <v>6.9444444444444198E-4</v>
      </c>
      <c r="AF42" s="72">
        <f t="shared" si="7"/>
        <v>3.4027777777777879E-2</v>
      </c>
      <c r="AG42" s="71">
        <f t="shared" si="8"/>
        <v>2667.9303958333335</v>
      </c>
      <c r="AH42" s="72">
        <f t="shared" si="9"/>
        <v>3.1240402761514442E-2</v>
      </c>
      <c r="AI42" s="72">
        <f t="shared" si="10"/>
        <v>6.5268180539292314E-2</v>
      </c>
      <c r="AJ42" s="74"/>
    </row>
    <row r="43" spans="1:36" ht="20.55" customHeight="1">
      <c r="A43" s="21" t="s">
        <v>99</v>
      </c>
      <c r="B43" s="42" t="s">
        <v>102</v>
      </c>
      <c r="C43" s="82" t="s">
        <v>103</v>
      </c>
      <c r="D43" s="85" t="s">
        <v>21</v>
      </c>
      <c r="E43" s="121">
        <v>0.42708333333333331</v>
      </c>
      <c r="F43" s="121">
        <v>0.4291666666666667</v>
      </c>
      <c r="G43" s="70">
        <f t="shared" si="12"/>
        <v>2.0833333333333814E-3</v>
      </c>
      <c r="H43" s="121">
        <f>A43+163.02/1440</f>
        <v>1120.1132083333334</v>
      </c>
      <c r="I43" s="70">
        <v>0.45555555555555555</v>
      </c>
      <c r="J43" s="70">
        <v>0.46111111111111108</v>
      </c>
      <c r="K43" s="70">
        <f t="shared" si="11"/>
        <v>5.5555555555555358E-3</v>
      </c>
      <c r="L43" s="70">
        <f>A42+122.3/1440</f>
        <v>1120.0849305555555</v>
      </c>
      <c r="M43" s="70">
        <v>0.47500000000000003</v>
      </c>
      <c r="N43" s="70">
        <v>0.48055555555555557</v>
      </c>
      <c r="O43" s="70">
        <f t="shared" si="13"/>
        <v>5.5555555555555358E-3</v>
      </c>
      <c r="P43" s="131">
        <v>199</v>
      </c>
      <c r="Q43" s="121">
        <v>0.52152777777777781</v>
      </c>
      <c r="R43" s="121">
        <v>0.52708333333333335</v>
      </c>
      <c r="S43" s="70">
        <f t="shared" si="14"/>
        <v>5.5555555555555358E-3</v>
      </c>
      <c r="T43" s="70">
        <f>A43+160.58/1440</f>
        <v>1120.1115138888888</v>
      </c>
      <c r="U43" s="121">
        <v>0.55902777777777779</v>
      </c>
      <c r="V43" s="70">
        <v>0.56388888888888888</v>
      </c>
      <c r="W43" s="70">
        <f t="shared" si="15"/>
        <v>4.8611111111110938E-3</v>
      </c>
      <c r="X43" s="129">
        <v>93.13</v>
      </c>
      <c r="Y43" s="70">
        <v>0.57152777777777775</v>
      </c>
      <c r="Z43" s="70">
        <v>0.57916666666666672</v>
      </c>
      <c r="AA43" s="70">
        <f t="shared" si="16"/>
        <v>7.6388888888889728E-3</v>
      </c>
      <c r="AB43" s="63">
        <v>5</v>
      </c>
      <c r="AC43" s="70">
        <v>0.62430555555555556</v>
      </c>
      <c r="AD43" s="70">
        <v>0.625</v>
      </c>
      <c r="AE43" s="70">
        <f t="shared" si="6"/>
        <v>6.9444444444444198E-4</v>
      </c>
      <c r="AF43" s="72">
        <f t="shared" si="7"/>
        <v>3.1944444444444497E-2</v>
      </c>
      <c r="AG43" s="71">
        <f t="shared" si="8"/>
        <v>3647.4396527777781</v>
      </c>
      <c r="AH43" s="72">
        <f t="shared" si="9"/>
        <v>4.2710066191777259E-2</v>
      </c>
      <c r="AI43" s="72">
        <f t="shared" si="10"/>
        <v>7.4654510636221749E-2</v>
      </c>
      <c r="AJ43" s="74"/>
    </row>
    <row r="44" spans="1:36" s="8" customFormat="1" ht="20.55" customHeight="1">
      <c r="A44" s="20" t="s">
        <v>104</v>
      </c>
      <c r="B44" s="42" t="s">
        <v>105</v>
      </c>
      <c r="C44" s="82" t="s">
        <v>106</v>
      </c>
      <c r="D44" s="85" t="s">
        <v>21</v>
      </c>
      <c r="E44" s="121">
        <v>0.44930555555555557</v>
      </c>
      <c r="F44" s="121">
        <v>0.45277777777777778</v>
      </c>
      <c r="G44" s="70">
        <f t="shared" si="12"/>
        <v>3.4722222222222099E-3</v>
      </c>
      <c r="H44" s="124">
        <f>A44+142.62/1440</f>
        <v>1140.0990416666666</v>
      </c>
      <c r="I44" s="70">
        <v>0.4826388888888889</v>
      </c>
      <c r="J44" s="70">
        <v>0.48888888888888887</v>
      </c>
      <c r="K44" s="70">
        <f t="shared" si="11"/>
        <v>6.2499999999999778E-3</v>
      </c>
      <c r="L44" s="70">
        <f>A43+80.86/1440</f>
        <v>1120.0561527777777</v>
      </c>
      <c r="M44" s="70">
        <v>0.50277777777777777</v>
      </c>
      <c r="N44" s="70">
        <v>0.50902777777777775</v>
      </c>
      <c r="O44" s="70">
        <f t="shared" si="13"/>
        <v>6.2499999999999778E-3</v>
      </c>
      <c r="P44" s="131">
        <v>199</v>
      </c>
      <c r="Q44" s="121">
        <v>0.55069444444444449</v>
      </c>
      <c r="R44" s="121">
        <v>0.55763888888888891</v>
      </c>
      <c r="S44" s="70">
        <f t="shared" si="14"/>
        <v>6.9444444444444198E-3</v>
      </c>
      <c r="T44" s="70">
        <f>A44+174.73/1440</f>
        <v>1140.1213402777778</v>
      </c>
      <c r="U44" s="121">
        <v>0.58472222222222225</v>
      </c>
      <c r="V44" s="70">
        <v>0.58958333333333335</v>
      </c>
      <c r="W44" s="70">
        <f t="shared" si="15"/>
        <v>4.8611111111110938E-3</v>
      </c>
      <c r="X44" s="129">
        <v>85.83</v>
      </c>
      <c r="Y44" s="70">
        <v>0.60347222222222219</v>
      </c>
      <c r="Z44" s="70">
        <v>0.61319444444444449</v>
      </c>
      <c r="AA44" s="70">
        <f t="shared" si="16"/>
        <v>9.7222222222222987E-3</v>
      </c>
      <c r="AB44" s="63"/>
      <c r="AC44" s="70">
        <v>0.64861111111111114</v>
      </c>
      <c r="AD44" s="70">
        <v>0.64861111111111114</v>
      </c>
      <c r="AE44" s="70">
        <f t="shared" si="6"/>
        <v>0</v>
      </c>
      <c r="AF44" s="72">
        <f t="shared" si="7"/>
        <v>3.7499999999999978E-2</v>
      </c>
      <c r="AG44" s="71">
        <f t="shared" si="8"/>
        <v>3685.106534722222</v>
      </c>
      <c r="AH44" s="72">
        <f t="shared" si="9"/>
        <v>4.3151130383164191E-2</v>
      </c>
      <c r="AI44" s="72">
        <f t="shared" si="10"/>
        <v>8.0651130383164168E-2</v>
      </c>
      <c r="AJ44" s="74"/>
    </row>
    <row r="45" spans="1:36" ht="20.55" customHeight="1">
      <c r="A45" s="20" t="s">
        <v>104</v>
      </c>
      <c r="B45" s="42" t="s">
        <v>107</v>
      </c>
      <c r="C45" s="83" t="s">
        <v>108</v>
      </c>
      <c r="D45" s="86" t="s">
        <v>21</v>
      </c>
      <c r="E45" s="121">
        <v>0.44027777777777777</v>
      </c>
      <c r="F45" s="121">
        <v>0.45069444444444445</v>
      </c>
      <c r="G45" s="70">
        <f t="shared" si="12"/>
        <v>1.0416666666666685E-2</v>
      </c>
      <c r="H45" s="124">
        <f>A45+106.45/1440</f>
        <v>1140.073923611111</v>
      </c>
      <c r="I45" s="70">
        <v>0.47222222222222227</v>
      </c>
      <c r="J45" s="70">
        <v>0.47986111111111113</v>
      </c>
      <c r="K45" s="70">
        <f t="shared" si="11"/>
        <v>7.6388888888888618E-3</v>
      </c>
      <c r="L45" s="70">
        <f>A44+121.18/1440</f>
        <v>1140.0841527777777</v>
      </c>
      <c r="M45" s="70">
        <v>0.49583333333333335</v>
      </c>
      <c r="N45" s="70">
        <v>0.50347222222222221</v>
      </c>
      <c r="O45" s="70">
        <f t="shared" si="13"/>
        <v>7.6388888888888618E-3</v>
      </c>
      <c r="P45" s="131">
        <v>199</v>
      </c>
      <c r="Q45" s="121">
        <v>0.54305555555555551</v>
      </c>
      <c r="R45" s="121">
        <v>0.55277777777777781</v>
      </c>
      <c r="S45" s="70">
        <f t="shared" si="14"/>
        <v>9.7222222222222987E-3</v>
      </c>
      <c r="T45" s="131">
        <v>180</v>
      </c>
      <c r="U45" s="121">
        <v>0.58263888888888882</v>
      </c>
      <c r="V45" s="70">
        <v>0.58750000000000002</v>
      </c>
      <c r="W45" s="70">
        <f t="shared" si="15"/>
        <v>4.8611111111112049E-3</v>
      </c>
      <c r="X45" s="129">
        <v>132.47</v>
      </c>
      <c r="Y45" s="70">
        <v>0.59930555555555554</v>
      </c>
      <c r="Z45" s="70">
        <v>0.61249999999999993</v>
      </c>
      <c r="AA45" s="70">
        <f t="shared" si="16"/>
        <v>1.3194444444444398E-2</v>
      </c>
      <c r="AB45" s="63"/>
      <c r="AC45" s="70">
        <v>0.63055555555555554</v>
      </c>
      <c r="AD45" s="70">
        <v>0.63124999999999998</v>
      </c>
      <c r="AE45" s="70">
        <f t="shared" si="6"/>
        <v>6.9444444444444198E-4</v>
      </c>
      <c r="AF45" s="72">
        <f t="shared" si="7"/>
        <v>5.4166666666666752E-2</v>
      </c>
      <c r="AG45" s="71">
        <f t="shared" si="8"/>
        <v>2791.6280763888885</v>
      </c>
      <c r="AH45" s="72">
        <f t="shared" si="9"/>
        <v>3.2688853353499865E-2</v>
      </c>
      <c r="AI45" s="72">
        <f t="shared" si="10"/>
        <v>8.685552002016661E-2</v>
      </c>
      <c r="AJ45" s="43"/>
    </row>
    <row r="46" spans="1:36" s="8" customFormat="1" ht="20.55" customHeight="1">
      <c r="A46" s="21" t="s">
        <v>18</v>
      </c>
      <c r="B46" s="42" t="s">
        <v>109</v>
      </c>
      <c r="C46" s="82" t="s">
        <v>110</v>
      </c>
      <c r="D46" s="85" t="s">
        <v>21</v>
      </c>
      <c r="E46" s="121">
        <v>0.44027777777777777</v>
      </c>
      <c r="F46" s="121">
        <v>0.44930555555555557</v>
      </c>
      <c r="G46" s="70">
        <f t="shared" si="12"/>
        <v>9.0277777777778012E-3</v>
      </c>
      <c r="H46" s="124">
        <f>A46+164.58/1440</f>
        <v>740.11429166666665</v>
      </c>
      <c r="I46" s="70">
        <v>0.4597222222222222</v>
      </c>
      <c r="J46" s="70">
        <v>0.46736111111111112</v>
      </c>
      <c r="K46" s="70">
        <f t="shared" si="11"/>
        <v>7.6388888888889173E-3</v>
      </c>
      <c r="L46" s="70">
        <f>A45+129.09/1440</f>
        <v>1140.0896458333334</v>
      </c>
      <c r="M46" s="70">
        <v>0.48541666666666666</v>
      </c>
      <c r="N46" s="70">
        <v>0.48888888888888887</v>
      </c>
      <c r="O46" s="70">
        <f t="shared" si="13"/>
        <v>3.4722222222222099E-3</v>
      </c>
      <c r="P46" s="131">
        <v>199</v>
      </c>
      <c r="Q46" s="121">
        <v>0.53055555555555556</v>
      </c>
      <c r="R46" s="121">
        <v>0.53402777777777777</v>
      </c>
      <c r="S46" s="70">
        <f t="shared" si="14"/>
        <v>3.4722222222222099E-3</v>
      </c>
      <c r="T46" s="131">
        <v>180</v>
      </c>
      <c r="U46" s="130">
        <v>0.56874999999999998</v>
      </c>
      <c r="V46" s="70">
        <v>0.57361111111111118</v>
      </c>
      <c r="W46" s="70">
        <f t="shared" si="15"/>
        <v>4.8611111111112049E-3</v>
      </c>
      <c r="X46" s="129">
        <v>96.28</v>
      </c>
      <c r="Y46" s="70">
        <v>0.57986111111111105</v>
      </c>
      <c r="Z46" s="70">
        <v>0.59861111111111109</v>
      </c>
      <c r="AA46" s="70">
        <f t="shared" si="16"/>
        <v>1.8750000000000044E-2</v>
      </c>
      <c r="AB46" s="63"/>
      <c r="AC46" s="70">
        <v>0.6</v>
      </c>
      <c r="AD46" s="70">
        <v>0.6</v>
      </c>
      <c r="AE46" s="70">
        <f t="shared" si="6"/>
        <v>0</v>
      </c>
      <c r="AF46" s="72">
        <f t="shared" si="7"/>
        <v>4.7222222222222388E-2</v>
      </c>
      <c r="AG46" s="71">
        <f t="shared" si="8"/>
        <v>2355.4839375000001</v>
      </c>
      <c r="AH46" s="72">
        <f t="shared" si="9"/>
        <v>2.758177912763466E-2</v>
      </c>
      <c r="AI46" s="72">
        <f t="shared" si="10"/>
        <v>7.4804001349857041E-2</v>
      </c>
      <c r="AJ46" s="74"/>
    </row>
    <row r="47" spans="1:36" ht="20.55" customHeight="1">
      <c r="A47" s="20" t="s">
        <v>111</v>
      </c>
      <c r="B47" s="42" t="s">
        <v>112</v>
      </c>
      <c r="C47" s="82" t="s">
        <v>113</v>
      </c>
      <c r="D47" s="85" t="s">
        <v>21</v>
      </c>
      <c r="E47" s="121">
        <v>0.44930555555555557</v>
      </c>
      <c r="F47" s="121">
        <v>0.45277777777777778</v>
      </c>
      <c r="G47" s="70">
        <f t="shared" si="12"/>
        <v>3.4722222222222099E-3</v>
      </c>
      <c r="H47" s="124">
        <f>A47+180/1440</f>
        <v>1240.125</v>
      </c>
      <c r="I47" s="70">
        <v>0.48749999999999999</v>
      </c>
      <c r="J47" s="70">
        <v>0.49583333333333335</v>
      </c>
      <c r="K47" s="70">
        <f t="shared" si="11"/>
        <v>8.3333333333333592E-3</v>
      </c>
      <c r="L47" s="70">
        <f>A46+180/1440</f>
        <v>740.125</v>
      </c>
      <c r="M47" s="70">
        <v>0.51111111111111118</v>
      </c>
      <c r="N47" s="70">
        <v>0.5180555555555556</v>
      </c>
      <c r="O47" s="70">
        <f t="shared" si="13"/>
        <v>6.9444444444444198E-3</v>
      </c>
      <c r="P47" s="131">
        <v>199</v>
      </c>
      <c r="Q47" s="121">
        <v>0.56111111111111112</v>
      </c>
      <c r="R47" s="121">
        <v>0.56805555555555554</v>
      </c>
      <c r="S47" s="70">
        <f t="shared" si="14"/>
        <v>6.9444444444444198E-3</v>
      </c>
      <c r="T47" s="131">
        <v>180</v>
      </c>
      <c r="U47" s="121">
        <v>0.58958333333333335</v>
      </c>
      <c r="V47" s="70">
        <v>0.59513888888888888</v>
      </c>
      <c r="W47" s="70">
        <f t="shared" si="15"/>
        <v>5.5555555555555358E-3</v>
      </c>
      <c r="X47" s="129">
        <v>180</v>
      </c>
      <c r="Y47" s="70">
        <v>0.60625000000000007</v>
      </c>
      <c r="Z47" s="70">
        <v>0.61875000000000002</v>
      </c>
      <c r="AA47" s="70">
        <f t="shared" si="16"/>
        <v>1.2499999999999956E-2</v>
      </c>
      <c r="AB47" s="63"/>
      <c r="AC47" s="70">
        <v>0.60486111111111118</v>
      </c>
      <c r="AD47" s="70">
        <v>0.60486111111111118</v>
      </c>
      <c r="AE47" s="70">
        <f t="shared" si="6"/>
        <v>0</v>
      </c>
      <c r="AF47" s="72">
        <f t="shared" si="7"/>
        <v>4.37499999999999E-2</v>
      </c>
      <c r="AG47" s="71">
        <f t="shared" si="8"/>
        <v>2539.25</v>
      </c>
      <c r="AH47" s="72">
        <f t="shared" si="9"/>
        <v>2.973360655737705E-2</v>
      </c>
      <c r="AI47" s="72">
        <f t="shared" si="10"/>
        <v>7.3483606557376957E-2</v>
      </c>
      <c r="AJ47" s="74"/>
    </row>
    <row r="48" spans="1:36" s="8" customFormat="1" ht="20.55" customHeight="1">
      <c r="A48" s="20" t="s">
        <v>111</v>
      </c>
      <c r="B48" s="42" t="s">
        <v>114</v>
      </c>
      <c r="C48" s="58" t="s">
        <v>115</v>
      </c>
      <c r="D48" s="81" t="s">
        <v>21</v>
      </c>
      <c r="E48" s="121">
        <v>0.44097222222222227</v>
      </c>
      <c r="F48" s="121">
        <v>0.44930555555555557</v>
      </c>
      <c r="G48" s="70">
        <f t="shared" si="12"/>
        <v>8.3333333333333037E-3</v>
      </c>
      <c r="H48" s="124">
        <f>A48+144.2/1440</f>
        <v>1240.100138888889</v>
      </c>
      <c r="I48" s="70">
        <v>0.47569444444444442</v>
      </c>
      <c r="J48" s="70">
        <v>0.47986111111111113</v>
      </c>
      <c r="K48" s="70">
        <f t="shared" si="11"/>
        <v>4.1666666666667074E-3</v>
      </c>
      <c r="L48" s="70">
        <f>A47+117.65/1440</f>
        <v>1240.0817013888889</v>
      </c>
      <c r="M48" s="70">
        <v>0.48819444444444443</v>
      </c>
      <c r="N48" s="70">
        <v>0.4916666666666667</v>
      </c>
      <c r="O48" s="70">
        <f t="shared" si="13"/>
        <v>3.4722222222222654E-3</v>
      </c>
      <c r="P48" s="131">
        <v>199</v>
      </c>
      <c r="Q48" s="121">
        <v>0.53611111111111109</v>
      </c>
      <c r="R48" s="121">
        <v>0.54027777777777775</v>
      </c>
      <c r="S48" s="70">
        <f t="shared" si="14"/>
        <v>4.1666666666666519E-3</v>
      </c>
      <c r="T48" s="70">
        <f>A48+154.94/1440</f>
        <v>1240.1075972222222</v>
      </c>
      <c r="U48" s="121">
        <v>0.57500000000000007</v>
      </c>
      <c r="V48" s="70">
        <v>0.57777777777777783</v>
      </c>
      <c r="W48" s="70">
        <f t="shared" si="15"/>
        <v>2.7777777777777679E-3</v>
      </c>
      <c r="X48" s="129">
        <v>109.51</v>
      </c>
      <c r="Y48" s="70">
        <v>0.58611111111111114</v>
      </c>
      <c r="Z48" s="70">
        <v>0.59166666666666667</v>
      </c>
      <c r="AA48" s="70">
        <f t="shared" si="16"/>
        <v>5.5555555555555358E-3</v>
      </c>
      <c r="AB48" s="63"/>
      <c r="AC48" s="70">
        <v>0.63888888888888895</v>
      </c>
      <c r="AD48" s="70">
        <v>0.63888888888888895</v>
      </c>
      <c r="AE48" s="70">
        <f t="shared" si="6"/>
        <v>0</v>
      </c>
      <c r="AF48" s="72">
        <f t="shared" si="7"/>
        <v>2.8472222222222232E-2</v>
      </c>
      <c r="AG48" s="71">
        <f t="shared" si="8"/>
        <v>4028.7994375000007</v>
      </c>
      <c r="AH48" s="72">
        <f t="shared" si="9"/>
        <v>4.7175637441451999E-2</v>
      </c>
      <c r="AI48" s="72">
        <f t="shared" si="10"/>
        <v>7.5647859663674238E-2</v>
      </c>
      <c r="AJ48" s="74"/>
    </row>
    <row r="49" spans="1:36" ht="20.55" customHeight="1">
      <c r="A49" s="20" t="s">
        <v>111</v>
      </c>
      <c r="B49" s="42" t="s">
        <v>116</v>
      </c>
      <c r="C49" s="82" t="s">
        <v>117</v>
      </c>
      <c r="D49" s="85" t="s">
        <v>21</v>
      </c>
      <c r="E49" s="121">
        <v>0.45763888888888887</v>
      </c>
      <c r="F49" s="121">
        <v>0.4597222222222222</v>
      </c>
      <c r="G49" s="70">
        <f t="shared" si="12"/>
        <v>2.0833333333333259E-3</v>
      </c>
      <c r="H49" s="124">
        <f>A49+167.35/1440</f>
        <v>1240.1162152777779</v>
      </c>
      <c r="I49" s="70">
        <v>0.49722222222222223</v>
      </c>
      <c r="J49" s="70">
        <v>0.50277777777777777</v>
      </c>
      <c r="K49" s="70">
        <f t="shared" si="11"/>
        <v>5.5555555555555358E-3</v>
      </c>
      <c r="L49" s="70">
        <f>A48+126.32/1440</f>
        <v>1240.0877222222223</v>
      </c>
      <c r="M49" s="70">
        <v>0.51458333333333328</v>
      </c>
      <c r="N49" s="70">
        <v>0.52083333333333337</v>
      </c>
      <c r="O49" s="70">
        <f t="shared" si="13"/>
        <v>6.2500000000000888E-3</v>
      </c>
      <c r="P49" s="131">
        <v>199</v>
      </c>
      <c r="Q49" s="121">
        <v>0.56388888888888888</v>
      </c>
      <c r="R49" s="121">
        <v>0.57013888888888886</v>
      </c>
      <c r="S49" s="70">
        <f t="shared" si="14"/>
        <v>6.2499999999999778E-3</v>
      </c>
      <c r="T49" s="70">
        <f>A49+174.3/1440</f>
        <v>1240.1210416666668</v>
      </c>
      <c r="U49" s="121">
        <v>0.59236111111111112</v>
      </c>
      <c r="V49" s="70">
        <v>0.59652777777777777</v>
      </c>
      <c r="W49" s="70">
        <f t="shared" si="15"/>
        <v>4.1666666666666519E-3</v>
      </c>
      <c r="X49" s="129">
        <v>129.41</v>
      </c>
      <c r="Y49" s="70">
        <v>0.60972222222222217</v>
      </c>
      <c r="Z49" s="70">
        <v>0.61944444444444446</v>
      </c>
      <c r="AA49" s="70">
        <f t="shared" si="16"/>
        <v>9.7222222222222987E-3</v>
      </c>
      <c r="AB49" s="63">
        <v>5</v>
      </c>
      <c r="AC49" s="70">
        <v>0.65555555555555556</v>
      </c>
      <c r="AD49" s="70">
        <v>0.65555555555555556</v>
      </c>
      <c r="AE49" s="70">
        <f t="shared" si="6"/>
        <v>0</v>
      </c>
      <c r="AF49" s="72">
        <f t="shared" si="7"/>
        <v>3.4027777777777879E-2</v>
      </c>
      <c r="AG49" s="71">
        <f t="shared" si="8"/>
        <v>4043.734979166667</v>
      </c>
      <c r="AH49" s="72">
        <f t="shared" si="9"/>
        <v>4.7350526688134276E-2</v>
      </c>
      <c r="AI49" s="72">
        <f t="shared" si="10"/>
        <v>8.1378304465912155E-2</v>
      </c>
      <c r="AJ49" s="74"/>
    </row>
    <row r="50" spans="1:36" s="8" customFormat="1" ht="20.55" customHeight="1">
      <c r="A50" s="20" t="s">
        <v>111</v>
      </c>
      <c r="B50" s="42" t="s">
        <v>118</v>
      </c>
      <c r="C50" s="83" t="s">
        <v>119</v>
      </c>
      <c r="D50" s="86" t="s">
        <v>21</v>
      </c>
      <c r="E50" s="121">
        <v>0.52916666666666667</v>
      </c>
      <c r="F50" s="121">
        <v>0.52986111111111112</v>
      </c>
      <c r="G50" s="70">
        <f t="shared" si="12"/>
        <v>6.9444444444444198E-4</v>
      </c>
      <c r="H50" s="124">
        <f>A50+119.67/1440</f>
        <v>1240.0831041666668</v>
      </c>
      <c r="I50" s="70">
        <v>0.5444444444444444</v>
      </c>
      <c r="J50" s="70">
        <v>0.54861111111111105</v>
      </c>
      <c r="K50" s="70">
        <f t="shared" si="11"/>
        <v>4.1666666666666519E-3</v>
      </c>
      <c r="L50" s="70">
        <f>A49+119.33/1440</f>
        <v>1240.0828680555555</v>
      </c>
      <c r="M50" s="70">
        <v>0.55902777777777779</v>
      </c>
      <c r="N50" s="70">
        <v>0.56527777777777777</v>
      </c>
      <c r="O50" s="70">
        <f t="shared" si="13"/>
        <v>6.2499999999999778E-3</v>
      </c>
      <c r="P50" s="131">
        <v>199</v>
      </c>
      <c r="Q50" s="121">
        <v>0.58263888888888882</v>
      </c>
      <c r="R50" s="121">
        <v>0.60625000000000007</v>
      </c>
      <c r="S50" s="70">
        <f t="shared" si="14"/>
        <v>2.3611111111111249E-2</v>
      </c>
      <c r="T50" s="70">
        <f>A50+180/1440</f>
        <v>1240.125</v>
      </c>
      <c r="U50" s="121">
        <v>0.62569444444444444</v>
      </c>
      <c r="V50" s="70">
        <v>0.62847222222222221</v>
      </c>
      <c r="W50" s="70">
        <f t="shared" si="15"/>
        <v>2.7777777777777679E-3</v>
      </c>
      <c r="X50" s="129">
        <v>180</v>
      </c>
      <c r="Y50" s="70">
        <v>0.63958333333333328</v>
      </c>
      <c r="Z50" s="70">
        <v>0.64722222222222225</v>
      </c>
      <c r="AA50" s="70">
        <f t="shared" si="16"/>
        <v>7.6388888888889728E-3</v>
      </c>
      <c r="AB50" s="63"/>
      <c r="AC50" s="70">
        <v>0.66111111111111109</v>
      </c>
      <c r="AD50" s="70">
        <v>0.66180555555555554</v>
      </c>
      <c r="AE50" s="70">
        <f t="shared" si="6"/>
        <v>6.9444444444444198E-4</v>
      </c>
      <c r="AF50" s="72">
        <f t="shared" si="7"/>
        <v>4.5833333333333504E-2</v>
      </c>
      <c r="AG50" s="71">
        <f t="shared" si="8"/>
        <v>4099.2909722222221</v>
      </c>
      <c r="AH50" s="72">
        <f t="shared" si="9"/>
        <v>4.8001065248503769E-2</v>
      </c>
      <c r="AI50" s="72">
        <f t="shared" si="10"/>
        <v>9.3834398581837272E-2</v>
      </c>
      <c r="AJ50" s="74"/>
    </row>
    <row r="51" spans="1:36" ht="20.55" customHeight="1">
      <c r="A51" s="21" t="s">
        <v>120</v>
      </c>
      <c r="B51" s="42" t="s">
        <v>121</v>
      </c>
      <c r="C51" s="82" t="s">
        <v>122</v>
      </c>
      <c r="D51" s="85" t="s">
        <v>21</v>
      </c>
      <c r="E51" s="121">
        <v>0.53402777777777777</v>
      </c>
      <c r="F51" s="121">
        <v>0.53611111111111109</v>
      </c>
      <c r="G51" s="70">
        <f t="shared" si="12"/>
        <v>2.0833333333333259E-3</v>
      </c>
      <c r="H51" s="124">
        <f>A51+110.06/1440</f>
        <v>1300.0764305555556</v>
      </c>
      <c r="I51" s="70">
        <v>0.55902777777777779</v>
      </c>
      <c r="J51" s="70">
        <v>0.56319444444444444</v>
      </c>
      <c r="K51" s="70">
        <f t="shared" si="11"/>
        <v>4.1666666666666519E-3</v>
      </c>
      <c r="L51" s="70">
        <f>A50+68.93/1440</f>
        <v>1240.0478680555555</v>
      </c>
      <c r="M51" s="70">
        <v>0.5708333333333333</v>
      </c>
      <c r="N51" s="70">
        <v>0.57430555555555551</v>
      </c>
      <c r="O51" s="70">
        <f t="shared" si="13"/>
        <v>3.4722222222222099E-3</v>
      </c>
      <c r="P51" s="131">
        <v>199</v>
      </c>
      <c r="Q51" s="121">
        <v>0.59236111111111112</v>
      </c>
      <c r="R51" s="121">
        <v>0.59652777777777777</v>
      </c>
      <c r="S51" s="70">
        <f t="shared" si="14"/>
        <v>4.1666666666666519E-3</v>
      </c>
      <c r="T51" s="70">
        <f>A51+146.72/1440</f>
        <v>1300.1018888888889</v>
      </c>
      <c r="U51" s="121">
        <v>0.61875000000000002</v>
      </c>
      <c r="V51" s="70">
        <v>0.62152777777777779</v>
      </c>
      <c r="W51" s="70">
        <f t="shared" si="15"/>
        <v>2.7777777777777679E-3</v>
      </c>
      <c r="X51" s="129">
        <v>91.03</v>
      </c>
      <c r="Y51" s="70">
        <v>0.62847222222222221</v>
      </c>
      <c r="Z51" s="70">
        <v>0.63541666666666663</v>
      </c>
      <c r="AA51" s="70">
        <f t="shared" si="16"/>
        <v>6.9444444444444198E-3</v>
      </c>
      <c r="AB51" s="63">
        <v>5</v>
      </c>
      <c r="AC51" s="70">
        <v>0.64236111111111105</v>
      </c>
      <c r="AD51" s="70">
        <v>0.64236111111111105</v>
      </c>
      <c r="AE51" s="70">
        <f t="shared" si="6"/>
        <v>0</v>
      </c>
      <c r="AF51" s="72">
        <f t="shared" si="7"/>
        <v>2.3611111111111027E-2</v>
      </c>
      <c r="AG51" s="71">
        <f t="shared" si="8"/>
        <v>4125.2561875000001</v>
      </c>
      <c r="AH51" s="72">
        <f t="shared" si="9"/>
        <v>4.8305107581967217E-2</v>
      </c>
      <c r="AI51" s="72">
        <f t="shared" si="10"/>
        <v>7.1916218693078238E-2</v>
      </c>
      <c r="AJ51" s="74"/>
    </row>
    <row r="52" spans="1:36" s="8" customFormat="1" ht="20.55" customHeight="1">
      <c r="A52" s="21" t="s">
        <v>120</v>
      </c>
      <c r="B52" s="42" t="s">
        <v>123</v>
      </c>
      <c r="C52" s="82" t="s">
        <v>124</v>
      </c>
      <c r="D52" s="85" t="s">
        <v>21</v>
      </c>
      <c r="E52" s="121">
        <v>0.52986111111111112</v>
      </c>
      <c r="F52" s="121">
        <v>0.53263888888888888</v>
      </c>
      <c r="G52" s="70">
        <f t="shared" si="12"/>
        <v>2.7777777777777679E-3</v>
      </c>
      <c r="H52" s="124">
        <f>A52+154.3/1440</f>
        <v>1300.1071527777779</v>
      </c>
      <c r="I52" s="70">
        <v>0.56944444444444442</v>
      </c>
      <c r="J52" s="70">
        <v>0.5756944444444444</v>
      </c>
      <c r="K52" s="70">
        <f t="shared" si="11"/>
        <v>6.2499999999999778E-3</v>
      </c>
      <c r="L52" s="70">
        <f>A51+89.54/1440</f>
        <v>1300.0621805555556</v>
      </c>
      <c r="M52" s="70">
        <v>0.58611111111111114</v>
      </c>
      <c r="N52" s="70">
        <v>0.59166666666666667</v>
      </c>
      <c r="O52" s="70">
        <f t="shared" si="13"/>
        <v>5.5555555555555358E-3</v>
      </c>
      <c r="P52" s="131">
        <v>199</v>
      </c>
      <c r="Q52" s="121">
        <v>0.6020833333333333</v>
      </c>
      <c r="R52" s="121">
        <v>0.60833333333333328</v>
      </c>
      <c r="S52" s="70">
        <f t="shared" si="14"/>
        <v>6.2499999999999778E-3</v>
      </c>
      <c r="T52" s="70">
        <f>A52+180/1440</f>
        <v>1300.125</v>
      </c>
      <c r="U52" s="121">
        <v>0.62847222222222221</v>
      </c>
      <c r="V52" s="70">
        <v>0.6333333333333333</v>
      </c>
      <c r="W52" s="70">
        <f t="shared" si="15"/>
        <v>4.8611111111110938E-3</v>
      </c>
      <c r="X52" s="129">
        <v>126.05</v>
      </c>
      <c r="Y52" s="70">
        <v>0.64236111111111105</v>
      </c>
      <c r="Z52" s="70">
        <v>0.65277777777777779</v>
      </c>
      <c r="AA52" s="70">
        <f t="shared" si="16"/>
        <v>1.0416666666666741E-2</v>
      </c>
      <c r="AB52" s="63">
        <v>5</v>
      </c>
      <c r="AC52" s="70">
        <v>0.67013888888888884</v>
      </c>
      <c r="AD52" s="70">
        <v>0.67083333333333339</v>
      </c>
      <c r="AE52" s="70">
        <f t="shared" si="6"/>
        <v>6.94444444444553E-4</v>
      </c>
      <c r="AF52" s="72">
        <f t="shared" si="7"/>
        <v>3.6805555555555647E-2</v>
      </c>
      <c r="AG52" s="71">
        <f t="shared" si="8"/>
        <v>4220.3443333333335</v>
      </c>
      <c r="AH52" s="72">
        <f t="shared" si="9"/>
        <v>4.9418551912568311E-2</v>
      </c>
      <c r="AI52" s="72">
        <f t="shared" si="10"/>
        <v>8.6224107468123951E-2</v>
      </c>
      <c r="AJ52" s="74"/>
    </row>
    <row r="53" spans="1:36" ht="20.55" customHeight="1">
      <c r="A53" s="21" t="s">
        <v>120</v>
      </c>
      <c r="B53" s="42" t="s">
        <v>125</v>
      </c>
      <c r="C53" s="82" t="s">
        <v>126</v>
      </c>
      <c r="D53" s="85" t="s">
        <v>21</v>
      </c>
      <c r="E53" s="121">
        <v>0.52986111111111112</v>
      </c>
      <c r="F53" s="121">
        <v>1247.5326388888889</v>
      </c>
      <c r="G53" s="70">
        <f t="shared" si="12"/>
        <v>1247.0027777777777</v>
      </c>
      <c r="H53" s="124">
        <f>A53+164.94/1440</f>
        <v>1300.1145416666666</v>
      </c>
      <c r="I53" s="70">
        <v>0.56388888888888888</v>
      </c>
      <c r="J53" s="70">
        <v>0.5756944444444444</v>
      </c>
      <c r="K53" s="70">
        <f t="shared" si="11"/>
        <v>1.1805555555555514E-2</v>
      </c>
      <c r="L53" s="70">
        <f>A52+117.8/1440</f>
        <v>1300.0818055555555</v>
      </c>
      <c r="M53" s="70">
        <v>0.58611111111111114</v>
      </c>
      <c r="N53" s="70">
        <v>0.59166666666666667</v>
      </c>
      <c r="O53" s="70">
        <f t="shared" si="13"/>
        <v>5.5555555555555358E-3</v>
      </c>
      <c r="P53" s="131">
        <v>199</v>
      </c>
      <c r="Q53" s="121">
        <v>0.60625000000000007</v>
      </c>
      <c r="R53" s="121">
        <v>0.61388888888888882</v>
      </c>
      <c r="S53" s="70">
        <f t="shared" si="14"/>
        <v>7.6388888888887507E-3</v>
      </c>
      <c r="T53" s="70">
        <f>A53+180/1440</f>
        <v>1300.125</v>
      </c>
      <c r="U53" s="121">
        <v>0.63124999999999998</v>
      </c>
      <c r="V53" s="70">
        <v>0.63680555555555551</v>
      </c>
      <c r="W53" s="70">
        <f t="shared" si="15"/>
        <v>5.5555555555555358E-3</v>
      </c>
      <c r="X53" s="129">
        <v>180</v>
      </c>
      <c r="Y53" s="70">
        <v>0.64583333333333337</v>
      </c>
      <c r="Z53" s="70">
        <v>0.65763888888888888</v>
      </c>
      <c r="AA53" s="70">
        <f t="shared" si="16"/>
        <v>1.1805555555555514E-2</v>
      </c>
      <c r="AB53" s="63"/>
      <c r="AC53" s="70">
        <v>0.6791666666666667</v>
      </c>
      <c r="AD53" s="70">
        <v>0.67986111111111114</v>
      </c>
      <c r="AE53" s="70">
        <f t="shared" si="6"/>
        <v>6.9444444444444198E-4</v>
      </c>
      <c r="AF53" s="72">
        <f t="shared" si="7"/>
        <v>1247.0458333333331</v>
      </c>
      <c r="AG53" s="71">
        <f t="shared" si="8"/>
        <v>4279.3213472222224</v>
      </c>
      <c r="AH53" s="72">
        <f t="shared" si="9"/>
        <v>5.0109149264897214E-2</v>
      </c>
      <c r="AI53" s="72">
        <f t="shared" si="10"/>
        <v>1247.095942482598</v>
      </c>
      <c r="AJ53" s="74"/>
    </row>
    <row r="54" spans="1:36" s="8" customFormat="1" ht="20.55" customHeight="1">
      <c r="A54" s="21" t="s">
        <v>120</v>
      </c>
      <c r="B54" s="135" t="s">
        <v>127</v>
      </c>
      <c r="C54" s="142" t="s">
        <v>128</v>
      </c>
      <c r="D54" s="81" t="s">
        <v>21</v>
      </c>
      <c r="E54" s="121">
        <v>0.57708333333333328</v>
      </c>
      <c r="F54" s="121">
        <v>0.57847222222222217</v>
      </c>
      <c r="G54" s="70">
        <f t="shared" si="12"/>
        <v>1.388888888888884E-3</v>
      </c>
      <c r="H54" s="124">
        <f>A54+115.17/1440</f>
        <v>1300.0799791666666</v>
      </c>
      <c r="I54" s="70">
        <v>0.61111111111111105</v>
      </c>
      <c r="J54" s="70">
        <v>0.61388888888888882</v>
      </c>
      <c r="K54" s="70">
        <f t="shared" si="11"/>
        <v>2.7777777777777679E-3</v>
      </c>
      <c r="L54" s="70">
        <f>A53+106.95/1440</f>
        <v>1300.0742708333332</v>
      </c>
      <c r="M54" s="70">
        <v>0.62013888888888891</v>
      </c>
      <c r="N54" s="70">
        <v>0.62291666666666667</v>
      </c>
      <c r="O54" s="70">
        <f t="shared" si="13"/>
        <v>2.7777777777777679E-3</v>
      </c>
      <c r="P54" s="131">
        <v>199</v>
      </c>
      <c r="Q54" s="121">
        <v>0.63402777777777775</v>
      </c>
      <c r="R54" s="121">
        <v>0.63750000000000007</v>
      </c>
      <c r="S54" s="70">
        <f t="shared" si="14"/>
        <v>3.4722222222223209E-3</v>
      </c>
      <c r="T54" s="70">
        <f>A54+141.95/1440</f>
        <v>1300.0985763888889</v>
      </c>
      <c r="U54" s="121">
        <v>0.64930555555555558</v>
      </c>
      <c r="V54" s="70">
        <v>0.65138888888888891</v>
      </c>
      <c r="W54" s="70">
        <f t="shared" si="15"/>
        <v>2.0833333333333259E-3</v>
      </c>
      <c r="X54" s="129">
        <v>78.88</v>
      </c>
      <c r="Y54" s="70">
        <v>0.66111111111111109</v>
      </c>
      <c r="Z54" s="70">
        <v>0.66666666666666663</v>
      </c>
      <c r="AA54" s="70">
        <f t="shared" si="16"/>
        <v>5.5555555555555358E-3</v>
      </c>
      <c r="AB54" s="11" t="s">
        <v>129</v>
      </c>
      <c r="AC54" s="14" t="s">
        <v>10</v>
      </c>
      <c r="AD54" s="16" t="s">
        <v>130</v>
      </c>
      <c r="AE54" s="24" t="s">
        <v>5</v>
      </c>
      <c r="AF54" s="14" t="s">
        <v>131</v>
      </c>
      <c r="AG54" s="10" t="s">
        <v>132</v>
      </c>
      <c r="AH54" s="10" t="s">
        <v>133</v>
      </c>
      <c r="AI54" s="27" t="s">
        <v>134</v>
      </c>
      <c r="AJ54" s="74"/>
    </row>
    <row r="55" spans="1:36" ht="20.55" customHeight="1">
      <c r="A55" s="22" t="s">
        <v>135</v>
      </c>
      <c r="B55" s="42" t="s">
        <v>136</v>
      </c>
      <c r="C55" s="57" t="s">
        <v>137</v>
      </c>
      <c r="D55" s="79" t="s">
        <v>21</v>
      </c>
      <c r="E55" s="121">
        <v>0.37986111111111115</v>
      </c>
      <c r="F55" s="121">
        <v>0.38263888888888892</v>
      </c>
      <c r="G55" s="70">
        <f t="shared" si="12"/>
        <v>2.7777777777777679E-3</v>
      </c>
      <c r="H55" s="121">
        <f>A55+180/1440</f>
        <v>1320.125</v>
      </c>
      <c r="I55" s="70">
        <v>0.3972222222222222</v>
      </c>
      <c r="J55" s="70">
        <v>0.40416666666666662</v>
      </c>
      <c r="K55" s="70">
        <f t="shared" si="11"/>
        <v>6.9444444444444198E-3</v>
      </c>
      <c r="L55" s="70" t="e">
        <f>#REF!+136.21/1440</f>
        <v>#REF!</v>
      </c>
      <c r="M55" s="70">
        <v>0.41805555555555557</v>
      </c>
      <c r="N55" s="70">
        <v>0.42569444444444443</v>
      </c>
      <c r="O55" s="70">
        <f t="shared" si="13"/>
        <v>7.6388888888888618E-3</v>
      </c>
      <c r="P55" s="131">
        <v>199</v>
      </c>
      <c r="Q55" s="121">
        <v>0.45069444444444445</v>
      </c>
      <c r="R55" s="121">
        <v>0.45694444444444443</v>
      </c>
      <c r="S55" s="70">
        <f t="shared" si="14"/>
        <v>6.2499999999999778E-3</v>
      </c>
      <c r="T55" s="131">
        <v>180</v>
      </c>
      <c r="U55" s="121">
        <v>0.4777777777777778</v>
      </c>
      <c r="V55" s="70">
        <v>0.48194444444444445</v>
      </c>
      <c r="W55" s="70">
        <f t="shared" si="15"/>
        <v>4.1666666666666519E-3</v>
      </c>
      <c r="X55" s="129">
        <v>90.64</v>
      </c>
      <c r="Y55" s="70">
        <v>0.48958333333333331</v>
      </c>
      <c r="Z55" s="70">
        <v>0.50694444444444442</v>
      </c>
      <c r="AA55" s="70">
        <f t="shared" si="16"/>
        <v>1.7361111111111105E-2</v>
      </c>
      <c r="AB55" s="63">
        <v>5</v>
      </c>
      <c r="AC55" s="70">
        <v>0.66736111111111107</v>
      </c>
      <c r="AD55" s="70">
        <v>0.66805555555555562</v>
      </c>
      <c r="AE55" s="70">
        <f>SUM(AD55-AC55)</f>
        <v>6.94444444444553E-4</v>
      </c>
      <c r="AF55" s="72">
        <f>SUM(G55+K55+O55+S55+W55+AA55+AE55)</f>
        <v>4.5833333333333337E-2</v>
      </c>
      <c r="AG55" s="71" t="e">
        <f>SUM(H55+L55+P55+T55+X55-AB55)</f>
        <v>#REF!</v>
      </c>
      <c r="AH55" s="72" t="e">
        <f>AG55/85400</f>
        <v>#REF!</v>
      </c>
      <c r="AI55" s="72" t="e">
        <f>SUM(AF55+AH55)</f>
        <v>#REF!</v>
      </c>
      <c r="AJ55" s="74"/>
    </row>
    <row r="56" spans="1:36" s="8" customFormat="1" ht="20.55" customHeight="1">
      <c r="A56" s="23" t="s">
        <v>138</v>
      </c>
      <c r="B56" s="42" t="s">
        <v>139</v>
      </c>
      <c r="C56" s="82" t="s">
        <v>140</v>
      </c>
      <c r="D56" s="85" t="s">
        <v>21</v>
      </c>
      <c r="E56" s="121">
        <v>4.5138888888888888E-2</v>
      </c>
      <c r="F56" s="121">
        <v>0.54583333333333328</v>
      </c>
      <c r="G56" s="70">
        <f t="shared" si="12"/>
        <v>0.50069444444444444</v>
      </c>
      <c r="H56" s="124">
        <f>A56+137.47/1440</f>
        <v>1340.0954652777777</v>
      </c>
      <c r="I56" s="70">
        <v>0.57847222222222217</v>
      </c>
      <c r="J56" s="70">
        <v>0.59027777777777779</v>
      </c>
      <c r="K56" s="70">
        <f t="shared" si="11"/>
        <v>1.1805555555555625E-2</v>
      </c>
      <c r="L56" s="70" t="e">
        <f>#REF!+92.6/1440</f>
        <v>#REF!</v>
      </c>
      <c r="M56" s="70">
        <v>0.59861111111111109</v>
      </c>
      <c r="N56" s="70">
        <v>0.60416666666666663</v>
      </c>
      <c r="O56" s="70">
        <f t="shared" si="13"/>
        <v>5.5555555555555358E-3</v>
      </c>
      <c r="P56" s="131">
        <v>199</v>
      </c>
      <c r="Q56" s="121">
        <v>0.61111111111111105</v>
      </c>
      <c r="R56" s="121">
        <v>0.62152777777777779</v>
      </c>
      <c r="S56" s="70">
        <f t="shared" si="14"/>
        <v>1.0416666666666741E-2</v>
      </c>
      <c r="T56" s="70">
        <f>A56+149.12/1440</f>
        <v>1340.1035555555557</v>
      </c>
      <c r="U56" s="121">
        <v>0.63402777777777775</v>
      </c>
      <c r="V56" s="70">
        <v>0.64097222222222217</v>
      </c>
      <c r="W56" s="70">
        <f t="shared" si="15"/>
        <v>6.9444444444444198E-3</v>
      </c>
      <c r="X56" s="129">
        <v>101.38</v>
      </c>
      <c r="Y56" s="70">
        <v>0.65277777777777779</v>
      </c>
      <c r="Z56" s="70">
        <v>0.66666666666666663</v>
      </c>
      <c r="AA56" s="70">
        <f t="shared" si="16"/>
        <v>1.388888888888884E-2</v>
      </c>
      <c r="AB56" s="63"/>
      <c r="AC56" s="70">
        <v>0.50902777777777775</v>
      </c>
      <c r="AD56" s="70">
        <v>0.50972222222222219</v>
      </c>
      <c r="AE56" s="70">
        <f>SUM(AD56-AC56)</f>
        <v>6.9444444444444198E-4</v>
      </c>
      <c r="AF56" s="72">
        <f>SUM(G56+K56+O56+S56+W56+AA56+AE56)</f>
        <v>0.55000000000000004</v>
      </c>
      <c r="AG56" s="71" t="e">
        <f>SUM(H56+L56+P56+T56+X56-AB56)</f>
        <v>#REF!</v>
      </c>
      <c r="AH56" s="72" t="e">
        <f>AG56/85400</f>
        <v>#REF!</v>
      </c>
      <c r="AI56" s="72" t="e">
        <f>SUM(AF56+AH56)</f>
        <v>#REF!</v>
      </c>
      <c r="AJ56" s="6"/>
    </row>
    <row r="57" spans="1:36" s="8" customFormat="1" ht="20.55" customHeight="1">
      <c r="A57" s="23" t="s">
        <v>141</v>
      </c>
      <c r="B57" s="42" t="s">
        <v>142</v>
      </c>
      <c r="C57" s="58" t="s">
        <v>143</v>
      </c>
      <c r="D57" s="137" t="s">
        <v>21</v>
      </c>
      <c r="E57" s="70">
        <v>0.32916666666666666</v>
      </c>
      <c r="F57" s="70">
        <v>0.33124999999999999</v>
      </c>
      <c r="G57" s="70">
        <f t="shared" si="12"/>
        <v>2.0833333333333259E-3</v>
      </c>
      <c r="H57" s="123">
        <f>A57+113.95/1440</f>
        <v>1540.0791319444445</v>
      </c>
      <c r="I57" s="70">
        <v>0.3444444444444445</v>
      </c>
      <c r="J57" s="70">
        <v>0.34930555555555554</v>
      </c>
      <c r="K57" s="70">
        <f t="shared" si="11"/>
        <v>4.8611111111110383E-3</v>
      </c>
      <c r="L57" s="70" t="e">
        <f>#REF!+75.93/1440</f>
        <v>#REF!</v>
      </c>
      <c r="M57" s="70">
        <v>0.35972222222222222</v>
      </c>
      <c r="N57" s="70">
        <v>0.36388888888888887</v>
      </c>
      <c r="O57" s="70">
        <f t="shared" si="13"/>
        <v>4.1666666666666519E-3</v>
      </c>
      <c r="P57" s="121">
        <f>A57+167.73/1440</f>
        <v>1540.1164791666667</v>
      </c>
      <c r="Q57" s="121">
        <v>0.37847222222222227</v>
      </c>
      <c r="R57" s="121">
        <v>0.38541666666666669</v>
      </c>
      <c r="S57" s="70">
        <f t="shared" si="14"/>
        <v>6.9444444444444198E-3</v>
      </c>
      <c r="T57" s="70">
        <f>A57+135.11/1440</f>
        <v>1540.0938263888888</v>
      </c>
      <c r="U57" s="121">
        <v>0.39374999999999999</v>
      </c>
      <c r="V57" s="70">
        <v>0.39652777777777781</v>
      </c>
      <c r="W57" s="70">
        <f t="shared" si="15"/>
        <v>2.7777777777778234E-3</v>
      </c>
      <c r="X57" s="129">
        <v>73.099999999999994</v>
      </c>
      <c r="Y57" s="70">
        <v>0.40416666666666662</v>
      </c>
      <c r="Z57" s="70">
        <v>0.41250000000000003</v>
      </c>
      <c r="AA57" s="70">
        <f t="shared" si="16"/>
        <v>8.3333333333334147E-3</v>
      </c>
      <c r="AB57" s="63">
        <v>5</v>
      </c>
      <c r="AC57" s="70">
        <v>0.67291666666666661</v>
      </c>
      <c r="AD57" s="70">
        <v>0.67361111111111116</v>
      </c>
      <c r="AE57" s="70">
        <f>SUM(AD57-AC57)</f>
        <v>6.94444444444553E-4</v>
      </c>
      <c r="AF57" s="72">
        <f>SUM(G57+K57+O57+S57+W57+AA57+AE57)</f>
        <v>2.9861111111111227E-2</v>
      </c>
      <c r="AG57" s="71" t="e">
        <f>SUM(H57+L57+P57+T57+X57-AB57)</f>
        <v>#REF!</v>
      </c>
      <c r="AH57" s="72" t="e">
        <f>AG57/85400</f>
        <v>#REF!</v>
      </c>
      <c r="AI57" s="72" t="e">
        <f>SUM(AF57+AH57)</f>
        <v>#REF!</v>
      </c>
      <c r="AJ57" s="13" t="s">
        <v>144</v>
      </c>
    </row>
    <row r="58" spans="1:36">
      <c r="A58" s="48"/>
      <c r="B58" s="75"/>
      <c r="C58" s="78"/>
      <c r="D58" s="149"/>
      <c r="E58" s="122"/>
      <c r="F58" s="122"/>
      <c r="G58" s="66"/>
      <c r="H58" s="121"/>
      <c r="I58" s="66"/>
      <c r="J58" s="66"/>
      <c r="K58" s="66"/>
      <c r="L58" s="70"/>
      <c r="M58" s="66"/>
      <c r="N58" s="66"/>
      <c r="O58" s="66"/>
      <c r="P58" s="122"/>
      <c r="Q58" s="122"/>
      <c r="R58" s="122"/>
      <c r="S58" s="66"/>
      <c r="T58" s="70"/>
      <c r="U58" s="122"/>
      <c r="V58" s="66"/>
      <c r="W58" s="66"/>
      <c r="X58" s="129"/>
      <c r="Y58" s="66"/>
      <c r="Z58" s="66"/>
      <c r="AA58" s="66"/>
      <c r="AB58" s="63"/>
      <c r="AC58" s="66"/>
      <c r="AD58" s="66"/>
      <c r="AE58" s="66"/>
      <c r="AF58" s="68"/>
      <c r="AG58" s="67"/>
      <c r="AH58" s="68"/>
      <c r="AI58" s="68"/>
      <c r="AJ58" s="69"/>
    </row>
    <row r="59" spans="1:36" s="9" customFormat="1" ht="19.2" customHeight="1">
      <c r="A59" s="22"/>
      <c r="B59" s="75"/>
      <c r="C59" s="60"/>
      <c r="D59" s="148"/>
      <c r="E59" s="122"/>
      <c r="F59" s="122"/>
      <c r="G59" s="66"/>
      <c r="H59" s="121"/>
      <c r="I59" s="66"/>
      <c r="J59" s="66"/>
      <c r="K59" s="66"/>
      <c r="L59" s="70"/>
      <c r="M59" s="66"/>
      <c r="N59" s="66"/>
      <c r="O59" s="66"/>
      <c r="P59" s="122"/>
      <c r="Q59" s="122"/>
      <c r="R59" s="122"/>
      <c r="S59" s="66"/>
      <c r="T59" s="70"/>
      <c r="U59" s="122"/>
      <c r="V59" s="66"/>
      <c r="W59" s="66"/>
      <c r="X59" s="129"/>
      <c r="Y59" s="66"/>
      <c r="Z59" s="66"/>
      <c r="AA59" s="66"/>
      <c r="AB59" s="63"/>
      <c r="AC59" s="66"/>
      <c r="AD59" s="66"/>
      <c r="AE59" s="66"/>
      <c r="AF59" s="68"/>
      <c r="AG59" s="67"/>
      <c r="AH59" s="68"/>
      <c r="AI59" s="68"/>
      <c r="AJ59" s="77"/>
    </row>
    <row r="60" spans="1:36">
      <c r="A60" s="22"/>
      <c r="B60" s="75"/>
      <c r="C60" s="60"/>
      <c r="D60" s="76"/>
      <c r="E60" s="122"/>
      <c r="F60" s="122"/>
      <c r="G60" s="66"/>
      <c r="H60" s="121"/>
      <c r="I60" s="66"/>
      <c r="J60" s="66"/>
      <c r="K60" s="66"/>
      <c r="L60" s="70"/>
      <c r="M60" s="66"/>
      <c r="N60" s="66"/>
      <c r="O60" s="66"/>
      <c r="P60" s="122"/>
      <c r="Q60" s="122"/>
      <c r="R60" s="122"/>
      <c r="S60" s="66"/>
      <c r="T60" s="131"/>
      <c r="U60" s="122"/>
      <c r="V60" s="66"/>
      <c r="W60" s="66"/>
      <c r="X60" s="129"/>
      <c r="Y60" s="66"/>
      <c r="Z60" s="66"/>
      <c r="AA60" s="66"/>
      <c r="AB60" s="63"/>
      <c r="AC60" s="66"/>
      <c r="AD60" s="66"/>
      <c r="AE60" s="66"/>
      <c r="AF60" s="68"/>
      <c r="AG60" s="67"/>
      <c r="AH60" s="68"/>
      <c r="AI60" s="68"/>
      <c r="AJ60" s="77"/>
    </row>
    <row r="61" spans="1:36" s="8" customFormat="1">
      <c r="A61" s="22"/>
      <c r="B61" s="75"/>
      <c r="C61" s="60"/>
      <c r="D61" s="76"/>
      <c r="E61" s="122"/>
      <c r="F61" s="122"/>
      <c r="G61" s="66"/>
      <c r="H61" s="121"/>
      <c r="I61" s="66"/>
      <c r="J61" s="66"/>
      <c r="K61" s="66"/>
      <c r="L61" s="70"/>
      <c r="M61" s="66"/>
      <c r="N61" s="66"/>
      <c r="O61" s="66"/>
      <c r="P61" s="122"/>
      <c r="Q61" s="122"/>
      <c r="R61" s="122"/>
      <c r="S61" s="66"/>
      <c r="T61" s="70"/>
      <c r="U61" s="122"/>
      <c r="V61" s="66"/>
      <c r="W61" s="66"/>
      <c r="X61" s="129"/>
      <c r="Y61" s="66"/>
      <c r="Z61" s="66"/>
      <c r="AA61" s="66"/>
      <c r="AB61" s="63"/>
      <c r="AC61" s="66"/>
      <c r="AD61" s="66"/>
      <c r="AE61" s="66"/>
      <c r="AF61" s="68"/>
      <c r="AG61" s="67"/>
      <c r="AH61" s="68"/>
      <c r="AI61" s="68"/>
      <c r="AJ61" s="77"/>
    </row>
    <row r="62" spans="1:36" ht="20.55" customHeight="1">
      <c r="A62" s="23"/>
      <c r="B62" s="75"/>
      <c r="C62" s="60"/>
      <c r="D62" s="150"/>
      <c r="E62" s="122"/>
      <c r="F62" s="122"/>
      <c r="G62" s="66"/>
      <c r="H62" s="121"/>
      <c r="I62" s="66"/>
      <c r="J62" s="66"/>
      <c r="K62" s="66"/>
      <c r="L62" s="70"/>
      <c r="M62" s="66"/>
      <c r="N62" s="66"/>
      <c r="O62" s="66"/>
      <c r="P62" s="122"/>
      <c r="Q62" s="122"/>
      <c r="R62" s="122"/>
      <c r="S62" s="66"/>
      <c r="T62" s="70"/>
      <c r="U62" s="122"/>
      <c r="V62" s="66"/>
      <c r="W62" s="66"/>
      <c r="X62" s="129"/>
      <c r="Y62" s="66"/>
      <c r="Z62" s="66"/>
      <c r="AA62" s="66"/>
      <c r="AB62" s="63"/>
      <c r="AC62" s="66"/>
      <c r="AD62" s="66"/>
      <c r="AE62" s="66"/>
      <c r="AF62" s="68"/>
      <c r="AG62" s="67"/>
      <c r="AH62" s="68"/>
      <c r="AI62" s="68"/>
      <c r="AJ62" s="77"/>
    </row>
    <row r="63" spans="1:36" s="8" customFormat="1" ht="24.45" customHeight="1">
      <c r="A63" s="22"/>
      <c r="B63" s="75"/>
      <c r="C63" s="78"/>
      <c r="D63" s="80"/>
      <c r="E63" s="122"/>
      <c r="F63" s="122"/>
      <c r="G63" s="66"/>
      <c r="H63" s="121"/>
      <c r="I63" s="66"/>
      <c r="J63" s="66"/>
      <c r="K63" s="66"/>
      <c r="L63" s="70"/>
      <c r="M63" s="66"/>
      <c r="N63" s="66"/>
      <c r="O63" s="66"/>
      <c r="P63" s="122"/>
      <c r="Q63" s="122"/>
      <c r="R63" s="122"/>
      <c r="S63" s="66"/>
      <c r="T63" s="70"/>
      <c r="U63" s="122"/>
      <c r="V63" s="66"/>
      <c r="W63" s="66"/>
      <c r="X63" s="129"/>
      <c r="Y63" s="66"/>
      <c r="Z63" s="66"/>
      <c r="AA63" s="66"/>
      <c r="AB63" s="63"/>
      <c r="AC63" s="66"/>
      <c r="AD63" s="66"/>
      <c r="AE63" s="66"/>
      <c r="AF63" s="68"/>
      <c r="AG63" s="67"/>
      <c r="AH63" s="68"/>
      <c r="AI63" s="68"/>
      <c r="AJ63" s="77"/>
    </row>
    <row r="64" spans="1:36" ht="24.45" customHeight="1">
      <c r="A64" s="22"/>
      <c r="B64" s="75"/>
      <c r="C64" s="78"/>
      <c r="D64" s="80"/>
      <c r="E64" s="122"/>
      <c r="F64" s="122"/>
      <c r="G64" s="66"/>
      <c r="H64" s="121"/>
      <c r="I64" s="66"/>
      <c r="J64" s="66"/>
      <c r="K64" s="66"/>
      <c r="L64" s="70"/>
      <c r="M64" s="66"/>
      <c r="N64" s="66"/>
      <c r="O64" s="66"/>
      <c r="P64" s="122"/>
      <c r="Q64" s="122"/>
      <c r="R64" s="122"/>
      <c r="S64" s="66"/>
      <c r="T64" s="70"/>
      <c r="U64" s="122"/>
      <c r="V64" s="66"/>
      <c r="W64" s="66"/>
      <c r="X64" s="129"/>
      <c r="Y64" s="66"/>
      <c r="Z64" s="66"/>
      <c r="AA64" s="66"/>
      <c r="AB64" s="63"/>
      <c r="AC64" s="66"/>
      <c r="AD64" s="66"/>
      <c r="AE64" s="66"/>
      <c r="AF64" s="68"/>
      <c r="AG64" s="67"/>
      <c r="AH64" s="68"/>
      <c r="AI64" s="68"/>
      <c r="AJ64" s="77"/>
    </row>
    <row r="65" spans="1:36" s="8" customFormat="1" ht="20.55" customHeight="1">
      <c r="A65" s="21"/>
      <c r="B65" s="75"/>
      <c r="C65" s="78"/>
      <c r="D65" s="80"/>
      <c r="E65" s="122"/>
      <c r="F65" s="122"/>
      <c r="G65" s="66"/>
      <c r="H65" s="121"/>
      <c r="I65" s="66"/>
      <c r="J65" s="66"/>
      <c r="K65" s="66"/>
      <c r="L65" s="70"/>
      <c r="M65" s="66"/>
      <c r="N65" s="66"/>
      <c r="O65" s="66"/>
      <c r="P65" s="131"/>
      <c r="Q65" s="122"/>
      <c r="R65" s="122"/>
      <c r="S65" s="66"/>
      <c r="T65" s="131"/>
      <c r="U65" s="122"/>
      <c r="V65" s="66"/>
      <c r="W65" s="66"/>
      <c r="X65" s="129"/>
      <c r="Y65" s="66"/>
      <c r="Z65" s="66"/>
      <c r="AA65" s="66"/>
      <c r="AB65" s="63"/>
      <c r="AC65" s="66"/>
      <c r="AD65" s="66"/>
      <c r="AE65" s="66"/>
      <c r="AF65" s="68"/>
      <c r="AG65" s="67"/>
      <c r="AH65" s="68"/>
      <c r="AI65" s="68"/>
      <c r="AJ65" s="77"/>
    </row>
    <row r="66" spans="1:36" ht="20.55" customHeight="1">
      <c r="A66" s="20"/>
      <c r="B66" s="75"/>
      <c r="C66" s="84"/>
      <c r="D66" s="87"/>
      <c r="E66" s="122"/>
      <c r="F66" s="122"/>
      <c r="G66" s="66"/>
      <c r="H66" s="121"/>
      <c r="I66" s="66"/>
      <c r="J66" s="66"/>
      <c r="K66" s="66"/>
      <c r="L66" s="70"/>
      <c r="M66" s="66"/>
      <c r="N66" s="66"/>
      <c r="O66" s="66"/>
      <c r="P66" s="121"/>
      <c r="Q66" s="122"/>
      <c r="R66" s="122"/>
      <c r="S66" s="66"/>
      <c r="T66" s="70"/>
      <c r="U66" s="122"/>
      <c r="V66" s="66"/>
      <c r="W66" s="66"/>
      <c r="X66" s="129"/>
      <c r="Y66" s="66"/>
      <c r="Z66" s="66"/>
      <c r="AA66" s="66"/>
      <c r="AB66" s="63"/>
      <c r="AC66" s="66"/>
      <c r="AD66" s="66"/>
      <c r="AE66" s="66"/>
      <c r="AF66" s="68"/>
      <c r="AG66" s="67"/>
      <c r="AH66" s="68"/>
      <c r="AI66" s="68"/>
      <c r="AJ66" s="77"/>
    </row>
    <row r="67" spans="1:36" ht="24.45" customHeight="1">
      <c r="A67" s="22"/>
      <c r="B67" s="75"/>
      <c r="C67" s="88"/>
      <c r="D67" s="89"/>
      <c r="E67" s="122"/>
      <c r="F67" s="122"/>
      <c r="G67" s="66"/>
      <c r="H67" s="124"/>
      <c r="I67" s="66"/>
      <c r="J67" s="66"/>
      <c r="K67" s="66"/>
      <c r="L67" s="70"/>
      <c r="M67" s="66"/>
      <c r="N67" s="66"/>
      <c r="O67" s="66"/>
      <c r="P67" s="121"/>
      <c r="Q67" s="122"/>
      <c r="R67" s="122"/>
      <c r="S67" s="66"/>
      <c r="T67" s="70"/>
      <c r="U67" s="122"/>
      <c r="V67" s="66"/>
      <c r="W67" s="66"/>
      <c r="X67" s="129"/>
      <c r="Y67" s="66"/>
      <c r="Z67" s="66"/>
      <c r="AA67" s="66"/>
      <c r="AB67" s="63"/>
      <c r="AC67" s="66"/>
      <c r="AD67" s="66"/>
      <c r="AE67" s="66"/>
      <c r="AF67" s="68"/>
      <c r="AG67" s="67"/>
      <c r="AH67" s="68"/>
      <c r="AI67" s="68"/>
      <c r="AJ67" s="77"/>
    </row>
    <row r="68" spans="1:36" s="9" customFormat="1" ht="19.2" customHeight="1">
      <c r="A68" s="21"/>
      <c r="B68" s="75"/>
      <c r="C68" s="84"/>
      <c r="D68" s="87"/>
      <c r="E68" s="122"/>
      <c r="F68" s="122"/>
      <c r="G68" s="66"/>
      <c r="H68" s="124"/>
      <c r="I68" s="66"/>
      <c r="J68" s="66"/>
      <c r="K68" s="66"/>
      <c r="L68" s="70"/>
      <c r="M68" s="66"/>
      <c r="N68" s="66"/>
      <c r="O68" s="66"/>
      <c r="P68" s="131"/>
      <c r="Q68" s="122"/>
      <c r="R68" s="122"/>
      <c r="S68" s="66"/>
      <c r="T68" s="70"/>
      <c r="U68" s="122"/>
      <c r="V68" s="66"/>
      <c r="W68" s="66"/>
      <c r="X68" s="129"/>
      <c r="Y68" s="66"/>
      <c r="Z68" s="66"/>
      <c r="AA68" s="66"/>
      <c r="AB68" s="63"/>
      <c r="AC68" s="66"/>
      <c r="AD68" s="66"/>
      <c r="AE68" s="66"/>
      <c r="AF68" s="68"/>
      <c r="AG68" s="67"/>
      <c r="AH68" s="68"/>
      <c r="AI68" s="68"/>
      <c r="AJ68" s="77"/>
    </row>
    <row r="69" spans="1:36" ht="26.55" customHeight="1">
      <c r="A69" s="21"/>
      <c r="B69" s="75"/>
      <c r="C69" s="84"/>
      <c r="D69" s="87"/>
      <c r="E69" s="122"/>
      <c r="F69" s="122"/>
      <c r="G69" s="66"/>
      <c r="H69" s="124"/>
      <c r="I69" s="66"/>
      <c r="J69" s="66"/>
      <c r="K69" s="66"/>
      <c r="L69" s="70"/>
      <c r="M69" s="66"/>
      <c r="N69" s="66"/>
      <c r="O69" s="66"/>
      <c r="P69" s="131"/>
      <c r="Q69" s="122"/>
      <c r="R69" s="122"/>
      <c r="S69" s="66"/>
      <c r="T69" s="131"/>
      <c r="U69" s="122"/>
      <c r="V69" s="66"/>
      <c r="W69" s="66"/>
      <c r="X69" s="129"/>
      <c r="Y69" s="66"/>
      <c r="Z69" s="66"/>
      <c r="AA69" s="66"/>
      <c r="AB69" s="63"/>
      <c r="AC69" s="66"/>
      <c r="AD69" s="66"/>
      <c r="AE69" s="66"/>
      <c r="AF69" s="68"/>
      <c r="AG69" s="67"/>
      <c r="AH69" s="68"/>
      <c r="AI69" s="68"/>
      <c r="AJ69" s="77"/>
    </row>
    <row r="70" spans="1:36" s="8" customFormat="1" ht="29.55" customHeight="1">
      <c r="A70" s="21"/>
      <c r="B70" s="75"/>
      <c r="C70" s="84"/>
      <c r="D70" s="87"/>
      <c r="E70" s="122"/>
      <c r="F70" s="122"/>
      <c r="G70" s="66"/>
      <c r="H70" s="124"/>
      <c r="I70" s="66"/>
      <c r="J70" s="66"/>
      <c r="K70" s="66"/>
      <c r="L70" s="131"/>
      <c r="M70" s="66"/>
      <c r="N70" s="66"/>
      <c r="O70" s="66"/>
      <c r="P70" s="131"/>
      <c r="Q70" s="122"/>
      <c r="R70" s="122"/>
      <c r="S70" s="66"/>
      <c r="T70" s="70"/>
      <c r="U70" s="122"/>
      <c r="V70" s="66"/>
      <c r="W70" s="66"/>
      <c r="X70" s="129"/>
      <c r="Y70" s="66"/>
      <c r="Z70" s="66"/>
      <c r="AA70" s="66"/>
      <c r="AB70" s="63"/>
      <c r="AC70" s="66"/>
      <c r="AD70" s="66"/>
      <c r="AE70" s="66"/>
      <c r="AF70" s="68"/>
      <c r="AG70" s="67"/>
      <c r="AH70" s="68"/>
      <c r="AI70" s="68"/>
      <c r="AJ70" s="77"/>
    </row>
    <row r="71" spans="1:36" ht="20.55" customHeight="1">
      <c r="A71" s="21"/>
      <c r="B71" s="75"/>
      <c r="C71" s="139"/>
      <c r="D71" s="87"/>
      <c r="E71" s="122"/>
      <c r="F71" s="122"/>
      <c r="G71" s="66"/>
      <c r="H71" s="124"/>
      <c r="I71" s="66"/>
      <c r="J71" s="66"/>
      <c r="K71" s="66"/>
      <c r="L71" s="70"/>
      <c r="M71" s="66"/>
      <c r="N71" s="66"/>
      <c r="O71" s="66"/>
      <c r="P71" s="131"/>
      <c r="Q71" s="122"/>
      <c r="R71" s="122"/>
      <c r="S71" s="66"/>
      <c r="T71" s="70"/>
      <c r="U71" s="122"/>
      <c r="V71" s="66"/>
      <c r="W71" s="66"/>
      <c r="X71" s="129"/>
      <c r="Y71" s="66"/>
      <c r="Z71" s="66"/>
      <c r="AA71" s="66"/>
      <c r="AB71" s="63"/>
      <c r="AC71" s="66"/>
      <c r="AD71" s="66"/>
      <c r="AE71" s="66"/>
      <c r="AF71" s="68"/>
      <c r="AG71" s="67"/>
      <c r="AH71" s="68"/>
      <c r="AI71" s="68"/>
      <c r="AJ71" s="77"/>
    </row>
    <row r="72" spans="1:36" s="9" customFormat="1" ht="19.2" customHeight="1">
      <c r="A72" s="21"/>
      <c r="B72" s="136"/>
      <c r="C72" s="143"/>
      <c r="D72" s="151"/>
      <c r="E72" s="122"/>
      <c r="F72" s="122"/>
      <c r="G72" s="66"/>
      <c r="H72" s="124"/>
      <c r="I72" s="66"/>
      <c r="J72" s="66"/>
      <c r="K72" s="66"/>
      <c r="L72" s="70"/>
      <c r="M72" s="66"/>
      <c r="N72" s="66"/>
      <c r="O72" s="66"/>
      <c r="P72" s="121"/>
      <c r="Q72" s="122"/>
      <c r="R72" s="122"/>
      <c r="S72" s="66"/>
      <c r="T72" s="70"/>
      <c r="U72" s="122"/>
      <c r="V72" s="66"/>
      <c r="W72" s="66"/>
      <c r="X72" s="129"/>
      <c r="Y72" s="66"/>
      <c r="Z72" s="66"/>
      <c r="AA72" s="66"/>
      <c r="AB72" s="63"/>
      <c r="AC72" s="66"/>
      <c r="AD72" s="66"/>
      <c r="AE72" s="66"/>
      <c r="AF72" s="68"/>
      <c r="AG72" s="67"/>
      <c r="AH72" s="68"/>
      <c r="AI72" s="68"/>
      <c r="AJ72" s="77"/>
    </row>
    <row r="73" spans="1:36" ht="24.45" customHeight="1">
      <c r="A73" s="21"/>
      <c r="B73" s="98"/>
      <c r="C73" s="118"/>
      <c r="D73" s="155"/>
      <c r="E73" s="122"/>
      <c r="F73" s="122"/>
      <c r="G73" s="66"/>
      <c r="H73" s="124"/>
      <c r="I73" s="66"/>
      <c r="J73" s="66"/>
      <c r="K73" s="66"/>
      <c r="L73" s="70"/>
      <c r="M73" s="66"/>
      <c r="N73" s="66"/>
      <c r="O73" s="66"/>
      <c r="P73" s="131"/>
      <c r="Q73" s="122"/>
      <c r="R73" s="122"/>
      <c r="S73" s="66"/>
      <c r="T73" s="70"/>
      <c r="U73" s="122"/>
      <c r="V73" s="66"/>
      <c r="W73" s="66"/>
      <c r="X73" s="129"/>
      <c r="Y73" s="66"/>
      <c r="Z73" s="66"/>
      <c r="AA73" s="66"/>
      <c r="AB73" s="63"/>
      <c r="AC73" s="66"/>
      <c r="AD73" s="66"/>
      <c r="AE73" s="66"/>
      <c r="AF73" s="68"/>
      <c r="AG73" s="67"/>
      <c r="AH73" s="68"/>
      <c r="AI73" s="68"/>
      <c r="AJ73" s="77"/>
    </row>
    <row r="74" spans="1:36" s="8" customFormat="1" ht="24.45" customHeight="1">
      <c r="A74" s="23"/>
      <c r="B74" s="75"/>
      <c r="C74" s="60"/>
      <c r="D74" s="150"/>
      <c r="E74" s="122"/>
      <c r="F74" s="122"/>
      <c r="G74" s="66"/>
      <c r="H74" s="121"/>
      <c r="I74" s="66"/>
      <c r="J74" s="66"/>
      <c r="K74" s="66"/>
      <c r="L74" s="70"/>
      <c r="M74" s="66"/>
      <c r="N74" s="66"/>
      <c r="O74" s="66"/>
      <c r="P74" s="122"/>
      <c r="Q74" s="122"/>
      <c r="R74" s="122"/>
      <c r="S74" s="66"/>
      <c r="T74" s="70"/>
      <c r="U74" s="122"/>
      <c r="V74" s="66"/>
      <c r="W74" s="66"/>
      <c r="X74" s="129"/>
      <c r="Y74" s="66"/>
      <c r="Z74" s="66"/>
      <c r="AA74" s="66"/>
      <c r="AB74" s="63"/>
      <c r="AC74" s="66"/>
      <c r="AD74" s="66"/>
      <c r="AE74" s="66"/>
      <c r="AF74" s="68"/>
      <c r="AG74" s="67"/>
      <c r="AH74" s="68"/>
      <c r="AI74" s="68"/>
      <c r="AJ74" s="77"/>
    </row>
    <row r="75" spans="1:36" ht="24.45" customHeight="1">
      <c r="A75" s="23"/>
      <c r="B75" s="75"/>
      <c r="C75" s="78"/>
      <c r="D75" s="80"/>
      <c r="E75" s="122"/>
      <c r="F75" s="122"/>
      <c r="G75" s="66"/>
      <c r="H75" s="121"/>
      <c r="I75" s="66"/>
      <c r="J75" s="66"/>
      <c r="K75" s="66"/>
      <c r="L75" s="70"/>
      <c r="M75" s="66"/>
      <c r="N75" s="66"/>
      <c r="O75" s="66"/>
      <c r="P75" s="131"/>
      <c r="Q75" s="122"/>
      <c r="R75" s="122"/>
      <c r="S75" s="66"/>
      <c r="T75" s="131"/>
      <c r="U75" s="122"/>
      <c r="V75" s="66"/>
      <c r="W75" s="66"/>
      <c r="X75" s="129"/>
      <c r="Y75" s="66"/>
      <c r="Z75" s="66"/>
      <c r="AA75" s="66"/>
      <c r="AB75" s="63"/>
      <c r="AC75" s="66"/>
      <c r="AD75" s="66"/>
      <c r="AE75" s="66"/>
      <c r="AF75" s="68"/>
      <c r="AG75" s="67"/>
      <c r="AH75" s="68"/>
      <c r="AI75" s="68"/>
      <c r="AJ75" s="77"/>
    </row>
    <row r="76" spans="1:36" s="8" customFormat="1" ht="20.55" customHeight="1">
      <c r="A76" s="22"/>
      <c r="B76" s="75"/>
      <c r="C76" s="60"/>
      <c r="D76" s="146"/>
      <c r="E76" s="122"/>
      <c r="F76" s="122"/>
      <c r="G76" s="66"/>
      <c r="H76" s="121"/>
      <c r="I76" s="66"/>
      <c r="J76" s="66"/>
      <c r="K76" s="66"/>
      <c r="L76" s="70"/>
      <c r="M76" s="66"/>
      <c r="N76" s="66"/>
      <c r="O76" s="66"/>
      <c r="P76" s="121"/>
      <c r="Q76" s="122"/>
      <c r="R76" s="122"/>
      <c r="S76" s="66"/>
      <c r="T76" s="70"/>
      <c r="U76" s="122"/>
      <c r="V76" s="66"/>
      <c r="W76" s="66"/>
      <c r="X76" s="129"/>
      <c r="Y76" s="66"/>
      <c r="Z76" s="66"/>
      <c r="AA76" s="66"/>
      <c r="AB76" s="63"/>
      <c r="AC76" s="66"/>
      <c r="AD76" s="66"/>
      <c r="AE76" s="66"/>
      <c r="AF76" s="68"/>
      <c r="AG76" s="67"/>
      <c r="AH76" s="68"/>
      <c r="AI76" s="68"/>
      <c r="AJ76" s="77"/>
    </row>
    <row r="77" spans="1:36" ht="20.55" customHeight="1">
      <c r="A77" s="22"/>
      <c r="B77" s="75"/>
      <c r="C77" s="141"/>
      <c r="D77" s="146"/>
      <c r="E77" s="122"/>
      <c r="F77" s="122"/>
      <c r="G77" s="66"/>
      <c r="H77" s="122"/>
      <c r="I77" s="66"/>
      <c r="J77" s="66"/>
      <c r="K77" s="66"/>
      <c r="L77" s="70"/>
      <c r="M77" s="66"/>
      <c r="N77" s="66"/>
      <c r="O77" s="66"/>
      <c r="P77" s="131"/>
      <c r="Q77" s="122"/>
      <c r="R77" s="122"/>
      <c r="S77" s="66"/>
      <c r="T77" s="70"/>
      <c r="U77" s="122"/>
      <c r="V77" s="66"/>
      <c r="W77" s="66"/>
      <c r="X77" s="129"/>
      <c r="Y77" s="66"/>
      <c r="Z77" s="66"/>
      <c r="AA77" s="66"/>
      <c r="AB77" s="63"/>
      <c r="AC77" s="66"/>
      <c r="AD77" s="70"/>
      <c r="AE77" s="66"/>
      <c r="AF77" s="68"/>
      <c r="AG77" s="67"/>
      <c r="AH77" s="68"/>
      <c r="AI77" s="68"/>
      <c r="AJ77" s="77"/>
    </row>
    <row r="78" spans="1:36" s="8" customFormat="1" ht="22.2" customHeight="1">
      <c r="A78" s="19"/>
      <c r="B78" s="35"/>
      <c r="C78"/>
      <c r="D78" s="2"/>
      <c r="E78"/>
      <c r="F78"/>
      <c r="G78" s="26"/>
      <c r="H78" s="128"/>
      <c r="I78"/>
      <c r="J78"/>
      <c r="K78" s="26"/>
      <c r="L78"/>
      <c r="M78"/>
      <c r="N78" s="2"/>
      <c r="O78" s="26"/>
      <c r="P78" s="2"/>
      <c r="Q78"/>
      <c r="R78"/>
      <c r="S78" s="26"/>
      <c r="T78"/>
      <c r="U78"/>
      <c r="V78"/>
      <c r="W78" s="26"/>
      <c r="X78"/>
      <c r="Y78"/>
      <c r="Z78"/>
      <c r="AA78" s="26"/>
      <c r="AB78"/>
      <c r="AC78"/>
      <c r="AD78"/>
      <c r="AE78" s="26"/>
      <c r="AF78"/>
      <c r="AG78"/>
      <c r="AH78"/>
      <c r="AI78"/>
      <c r="AJ78"/>
    </row>
    <row r="79" spans="1:36" ht="20.55" customHeight="1"/>
    <row r="80" spans="1:36" s="8" customFormat="1" ht="20.55" customHeight="1">
      <c r="A80" s="19"/>
      <c r="B80" s="35"/>
      <c r="C80"/>
      <c r="D80" s="2"/>
      <c r="E80"/>
      <c r="F80"/>
      <c r="G80" s="26"/>
      <c r="H80"/>
      <c r="I80"/>
      <c r="J80"/>
      <c r="K80" s="26"/>
      <c r="L80"/>
      <c r="M80"/>
      <c r="N80" s="2"/>
      <c r="O80" s="26"/>
      <c r="P80" s="2"/>
      <c r="Q80"/>
      <c r="R80"/>
      <c r="S80" s="26"/>
      <c r="T80"/>
      <c r="U80"/>
      <c r="V80"/>
      <c r="W80" s="26"/>
      <c r="X80"/>
      <c r="Y80"/>
      <c r="Z80"/>
      <c r="AA80" s="26"/>
      <c r="AB80"/>
      <c r="AC80"/>
      <c r="AD80"/>
      <c r="AE80" s="26"/>
      <c r="AF80"/>
      <c r="AG80"/>
      <c r="AH80"/>
      <c r="AI80"/>
      <c r="AJ80"/>
    </row>
    <row r="81" spans="1:36" ht="20.55" customHeight="1"/>
    <row r="82" spans="1:36" s="8" customFormat="1" ht="20.55" customHeight="1">
      <c r="A82" s="19"/>
      <c r="B82" s="35"/>
      <c r="C82"/>
      <c r="D82" s="2"/>
      <c r="E82"/>
      <c r="F82"/>
      <c r="G82" s="26"/>
      <c r="H82"/>
      <c r="I82"/>
      <c r="J82"/>
      <c r="K82" s="26"/>
      <c r="L82"/>
      <c r="M82"/>
      <c r="N82" s="2"/>
      <c r="O82" s="26"/>
      <c r="P82" s="2"/>
      <c r="Q82"/>
      <c r="R82"/>
      <c r="S82" s="26"/>
      <c r="T82"/>
      <c r="U82"/>
      <c r="V82"/>
      <c r="W82" s="26"/>
      <c r="X82"/>
      <c r="Y82"/>
      <c r="Z82"/>
      <c r="AA82" s="26"/>
      <c r="AB82"/>
      <c r="AC82"/>
      <c r="AD82"/>
      <c r="AE82" s="26"/>
      <c r="AF82"/>
      <c r="AG82"/>
      <c r="AH82"/>
      <c r="AI82"/>
      <c r="AJ82"/>
    </row>
    <row r="83" spans="1:36" ht="20.55" customHeight="1"/>
    <row r="84" spans="1:36" s="8" customFormat="1" ht="20.55" customHeight="1">
      <c r="A84" s="19"/>
      <c r="B84" s="35"/>
      <c r="C84"/>
      <c r="D84" s="2"/>
      <c r="E84"/>
      <c r="F84"/>
      <c r="G84" s="26"/>
      <c r="H84"/>
      <c r="I84"/>
      <c r="J84"/>
      <c r="K84" s="26"/>
      <c r="L84"/>
      <c r="M84"/>
      <c r="N84" s="2"/>
      <c r="O84" s="26"/>
      <c r="P84" s="2"/>
      <c r="Q84"/>
      <c r="R84"/>
      <c r="S84" s="26"/>
      <c r="T84"/>
      <c r="U84"/>
      <c r="V84"/>
      <c r="W84" s="26"/>
      <c r="X84"/>
      <c r="Y84"/>
      <c r="Z84"/>
      <c r="AA84" s="26"/>
      <c r="AB84"/>
      <c r="AC84"/>
      <c r="AD84"/>
      <c r="AE84" s="26"/>
      <c r="AF84"/>
      <c r="AG84"/>
      <c r="AH84"/>
      <c r="AI84"/>
      <c r="AJ84"/>
    </row>
    <row r="85" spans="1:36" ht="20.55" customHeight="1"/>
    <row r="86" spans="1:36" s="8" customFormat="1" ht="20.55" customHeight="1">
      <c r="A86" s="19"/>
      <c r="B86" s="35"/>
      <c r="C86"/>
      <c r="D86" s="2"/>
      <c r="E86"/>
      <c r="F86"/>
      <c r="G86" s="26"/>
      <c r="H86"/>
      <c r="I86"/>
      <c r="J86"/>
      <c r="K86" s="26"/>
      <c r="L86"/>
      <c r="M86"/>
      <c r="N86" s="2"/>
      <c r="O86" s="26"/>
      <c r="P86" s="2"/>
      <c r="Q86"/>
      <c r="R86"/>
      <c r="S86" s="26"/>
      <c r="T86"/>
      <c r="U86"/>
      <c r="V86"/>
      <c r="W86" s="26"/>
      <c r="X86"/>
      <c r="Y86"/>
      <c r="Z86"/>
      <c r="AA86" s="26"/>
      <c r="AB86"/>
      <c r="AC86"/>
      <c r="AD86"/>
      <c r="AE86" s="26"/>
      <c r="AF86"/>
      <c r="AG86"/>
      <c r="AH86"/>
      <c r="AI86"/>
      <c r="AJ86"/>
    </row>
    <row r="87" spans="1:36" ht="20.55" customHeight="1"/>
    <row r="88" spans="1:36" s="8" customFormat="1" ht="20.55" customHeight="1">
      <c r="A88" s="19"/>
      <c r="B88" s="35"/>
      <c r="C88"/>
      <c r="D88" s="2"/>
      <c r="E88"/>
      <c r="F88"/>
      <c r="G88" s="26"/>
      <c r="H88"/>
      <c r="I88"/>
      <c r="J88"/>
      <c r="K88" s="26"/>
      <c r="L88"/>
      <c r="M88"/>
      <c r="N88" s="2"/>
      <c r="O88" s="26"/>
      <c r="P88" s="2"/>
      <c r="Q88"/>
      <c r="R88"/>
      <c r="S88" s="26"/>
      <c r="T88"/>
      <c r="U88"/>
      <c r="V88"/>
      <c r="W88" s="26"/>
      <c r="X88"/>
      <c r="Y88"/>
      <c r="Z88"/>
      <c r="AA88" s="26"/>
      <c r="AB88"/>
      <c r="AC88"/>
      <c r="AD88"/>
      <c r="AE88" s="26"/>
      <c r="AF88"/>
      <c r="AG88"/>
      <c r="AH88"/>
      <c r="AI88"/>
      <c r="AJ88"/>
    </row>
    <row r="89" spans="1:36" ht="20.55" customHeight="1"/>
    <row r="90" spans="1:36" s="8" customFormat="1" ht="20.55" customHeight="1">
      <c r="A90" s="19"/>
      <c r="B90" s="35"/>
      <c r="C90"/>
      <c r="D90" s="2"/>
      <c r="E90"/>
      <c r="F90"/>
      <c r="G90" s="26"/>
      <c r="H90"/>
      <c r="I90"/>
      <c r="J90"/>
      <c r="K90" s="26"/>
      <c r="L90"/>
      <c r="M90"/>
      <c r="N90" s="2"/>
      <c r="O90" s="26"/>
      <c r="P90" s="2"/>
      <c r="Q90"/>
      <c r="R90"/>
      <c r="S90" s="26"/>
      <c r="T90"/>
      <c r="U90"/>
      <c r="V90"/>
      <c r="W90" s="26"/>
      <c r="X90"/>
      <c r="Y90"/>
      <c r="Z90"/>
      <c r="AA90" s="26"/>
      <c r="AB90"/>
      <c r="AC90"/>
      <c r="AD90"/>
      <c r="AE90" s="26"/>
      <c r="AF90"/>
      <c r="AG90"/>
      <c r="AH90"/>
      <c r="AI90"/>
      <c r="AJ90"/>
    </row>
    <row r="91" spans="1:36" ht="20.55" customHeight="1"/>
    <row r="92" spans="1:36" s="8" customFormat="1" ht="20.5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3" spans="1:36" ht="20.55" customHeight="1"/>
    <row r="94" spans="1:36" s="8" customFormat="1" ht="20.55" customHeigh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5" customHeight="1"/>
    <row r="96" spans="1:36" s="8" customFormat="1" ht="20.5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0.55" customHeight="1"/>
    <row r="99" spans="1:36" s="9" customFormat="1" ht="19.2" customHeight="1">
      <c r="A99" s="19"/>
      <c r="B99" s="35"/>
      <c r="C99"/>
      <c r="D99" s="2"/>
      <c r="E99"/>
      <c r="F99"/>
      <c r="G99" s="26"/>
      <c r="H99"/>
      <c r="I99"/>
      <c r="J99"/>
      <c r="K99" s="26"/>
      <c r="L99"/>
      <c r="M99"/>
      <c r="N99" s="2"/>
      <c r="O99" s="26"/>
      <c r="P99" s="2"/>
      <c r="Q99"/>
      <c r="R99"/>
      <c r="S99" s="26"/>
      <c r="T99"/>
      <c r="U99"/>
      <c r="V99"/>
      <c r="W99" s="26"/>
      <c r="X99"/>
      <c r="Y99"/>
      <c r="Z99"/>
      <c r="AA99" s="26"/>
      <c r="AB99"/>
      <c r="AC99"/>
      <c r="AD99"/>
      <c r="AE99" s="26"/>
      <c r="AF99"/>
      <c r="AG99"/>
      <c r="AH99"/>
      <c r="AI99"/>
      <c r="AJ99"/>
    </row>
    <row r="101" spans="1:36" s="8" customFormat="1">
      <c r="A101" s="19"/>
      <c r="B101" s="35"/>
      <c r="C101"/>
      <c r="D101" s="2"/>
      <c r="E101"/>
      <c r="F101"/>
      <c r="G101" s="26"/>
      <c r="H101"/>
      <c r="I101"/>
      <c r="J101"/>
      <c r="K101" s="26"/>
      <c r="L101"/>
      <c r="M101"/>
      <c r="N101" s="2"/>
      <c r="O101" s="26"/>
      <c r="P101" s="2"/>
      <c r="Q101"/>
      <c r="R101"/>
      <c r="S101" s="26"/>
      <c r="T101"/>
      <c r="U101"/>
      <c r="V101"/>
      <c r="W101" s="26"/>
      <c r="X101"/>
      <c r="Y101"/>
      <c r="Z101"/>
      <c r="AA101" s="26"/>
      <c r="AB101"/>
      <c r="AC101"/>
      <c r="AD101"/>
      <c r="AE101" s="26"/>
      <c r="AF101"/>
      <c r="AG101"/>
      <c r="AH101"/>
      <c r="AI101"/>
      <c r="AJ101"/>
    </row>
    <row r="102" spans="1:36" ht="20.55" customHeight="1"/>
    <row r="103" spans="1:36" s="8" customFormat="1" ht="24.45" customHeight="1">
      <c r="A103" s="19"/>
      <c r="B103" s="35"/>
      <c r="C103"/>
      <c r="D103" s="2"/>
      <c r="E103"/>
      <c r="F103"/>
      <c r="G103" s="26"/>
      <c r="H103"/>
      <c r="I103"/>
      <c r="J103"/>
      <c r="K103" s="26"/>
      <c r="L103"/>
      <c r="M103"/>
      <c r="N103" s="2"/>
      <c r="O103" s="26"/>
      <c r="P103" s="2"/>
      <c r="Q103"/>
      <c r="R103"/>
      <c r="S103" s="26"/>
      <c r="T103"/>
      <c r="U103"/>
      <c r="V103"/>
      <c r="W103" s="26"/>
      <c r="X103"/>
      <c r="Y103"/>
      <c r="Z103"/>
      <c r="AA103" s="26"/>
      <c r="AB103"/>
      <c r="AC103"/>
      <c r="AD103"/>
      <c r="AE103" s="26"/>
      <c r="AF103"/>
      <c r="AG103"/>
      <c r="AH103"/>
      <c r="AI103"/>
      <c r="AJ103"/>
    </row>
    <row r="104" spans="1:36" ht="24.45" customHeight="1"/>
    <row r="105" spans="1:36" s="8" customFormat="1" ht="20.55" customHeight="1">
      <c r="A105" s="19"/>
      <c r="B105" s="35"/>
      <c r="C105"/>
      <c r="D105" s="2"/>
      <c r="E105"/>
      <c r="F105"/>
      <c r="G105" s="26"/>
      <c r="H105"/>
      <c r="I105"/>
      <c r="J105"/>
      <c r="K105" s="26"/>
      <c r="L105"/>
      <c r="M105"/>
      <c r="N105" s="2"/>
      <c r="O105" s="26"/>
      <c r="P105" s="2"/>
      <c r="Q105"/>
      <c r="R105"/>
      <c r="S105" s="26"/>
      <c r="T105"/>
      <c r="U105"/>
      <c r="V105"/>
      <c r="W105" s="26"/>
      <c r="X105"/>
      <c r="Y105"/>
      <c r="Z105"/>
      <c r="AA105" s="26"/>
      <c r="AB105"/>
      <c r="AC105"/>
      <c r="AD105"/>
      <c r="AE105" s="26"/>
      <c r="AF105"/>
      <c r="AG105"/>
      <c r="AH105"/>
      <c r="AI105"/>
      <c r="AJ105"/>
    </row>
    <row r="106" spans="1:36" ht="20.55" customHeight="1"/>
    <row r="107" spans="1:36" s="8" customFormat="1" ht="20.55" customHeight="1">
      <c r="A107" s="19"/>
      <c r="B107" s="35"/>
      <c r="C107"/>
      <c r="D107" s="2"/>
      <c r="E107"/>
      <c r="F107"/>
      <c r="G107" s="26"/>
      <c r="H107"/>
      <c r="I107"/>
      <c r="J107"/>
      <c r="K107" s="26"/>
      <c r="L107"/>
      <c r="M107"/>
      <c r="N107" s="2"/>
      <c r="O107" s="26"/>
      <c r="P107" s="2"/>
      <c r="Q107"/>
      <c r="R107"/>
      <c r="S107" s="26"/>
      <c r="T107"/>
      <c r="U107"/>
      <c r="V107"/>
      <c r="W107" s="26"/>
      <c r="X107"/>
      <c r="Y107"/>
      <c r="Z107"/>
      <c r="AA107" s="26"/>
      <c r="AB107"/>
      <c r="AC107"/>
      <c r="AD107"/>
      <c r="AE107" s="26"/>
      <c r="AF107"/>
      <c r="AG107"/>
      <c r="AH107"/>
      <c r="AI107"/>
      <c r="AJ107"/>
    </row>
    <row r="108" spans="1:36" ht="20.55" customHeight="1"/>
    <row r="109" spans="1:36" s="8" customFormat="1" ht="22.2" customHeight="1">
      <c r="A109" s="19"/>
      <c r="B109" s="35"/>
      <c r="C109"/>
      <c r="D109" s="2"/>
      <c r="E109"/>
      <c r="F109"/>
      <c r="G109" s="26"/>
      <c r="H109"/>
      <c r="I109"/>
      <c r="J109"/>
      <c r="K109" s="26"/>
      <c r="L109"/>
      <c r="M109"/>
      <c r="N109" s="2"/>
      <c r="O109" s="26"/>
      <c r="P109" s="2"/>
      <c r="Q109"/>
      <c r="R109"/>
      <c r="S109" s="26"/>
      <c r="T109"/>
      <c r="U109"/>
      <c r="V109"/>
      <c r="W109" s="26"/>
      <c r="X109"/>
      <c r="Y109"/>
      <c r="Z109"/>
      <c r="AA109" s="26"/>
      <c r="AB109"/>
      <c r="AC109"/>
      <c r="AD109"/>
      <c r="AE109" s="26"/>
      <c r="AF109"/>
      <c r="AG109"/>
      <c r="AH109"/>
      <c r="AI109"/>
      <c r="AJ109"/>
    </row>
    <row r="110" spans="1:36" ht="20.55" customHeight="1"/>
    <row r="111" spans="1:36" s="8" customFormat="1" ht="20.55" customHeight="1">
      <c r="A111" s="19"/>
      <c r="B111" s="35"/>
      <c r="C111"/>
      <c r="D111" s="2"/>
      <c r="E111"/>
      <c r="F111"/>
      <c r="G111" s="26"/>
      <c r="H111"/>
      <c r="I111"/>
      <c r="J111"/>
      <c r="K111" s="26"/>
      <c r="L111"/>
      <c r="M111"/>
      <c r="N111" s="2"/>
      <c r="O111" s="26"/>
      <c r="P111" s="2"/>
      <c r="Q111"/>
      <c r="R111"/>
      <c r="S111" s="26"/>
      <c r="T111"/>
      <c r="U111"/>
      <c r="V111"/>
      <c r="W111" s="26"/>
      <c r="X111"/>
      <c r="Y111"/>
      <c r="Z111"/>
      <c r="AA111" s="26"/>
      <c r="AB111"/>
      <c r="AC111"/>
      <c r="AD111"/>
      <c r="AE111" s="26"/>
      <c r="AF111"/>
      <c r="AG111"/>
      <c r="AH111"/>
      <c r="AI111"/>
      <c r="AJ111"/>
    </row>
    <row r="112" spans="1:36" ht="20.55" customHeight="1"/>
    <row r="113" spans="1:36" s="8" customFormat="1" ht="20.55" customHeight="1">
      <c r="A113" s="19"/>
      <c r="B113" s="35"/>
      <c r="C113"/>
      <c r="D113" s="2"/>
      <c r="E113"/>
      <c r="F113"/>
      <c r="G113" s="26"/>
      <c r="H113"/>
      <c r="I113"/>
      <c r="J113"/>
      <c r="K113" s="26"/>
      <c r="L113"/>
      <c r="M113"/>
      <c r="N113" s="2"/>
      <c r="O113" s="26"/>
      <c r="P113" s="2"/>
      <c r="Q113"/>
      <c r="R113"/>
      <c r="S113" s="26"/>
      <c r="T113"/>
      <c r="U113"/>
      <c r="V113"/>
      <c r="W113" s="26"/>
      <c r="X113"/>
      <c r="Y113"/>
      <c r="Z113"/>
      <c r="AA113" s="26"/>
      <c r="AB113"/>
      <c r="AC113"/>
      <c r="AD113"/>
      <c r="AE113" s="26"/>
      <c r="AF113"/>
      <c r="AG113"/>
      <c r="AH113"/>
      <c r="AI113"/>
      <c r="AJ113"/>
    </row>
    <row r="114" spans="1:36" ht="20.55" customHeight="1"/>
    <row r="115" spans="1:36" s="8" customFormat="1" ht="20.55" customHeight="1">
      <c r="A115" s="19"/>
      <c r="B115" s="35"/>
      <c r="C115"/>
      <c r="D115" s="2"/>
      <c r="E115"/>
      <c r="F115"/>
      <c r="G115" s="26"/>
      <c r="H115"/>
      <c r="I115"/>
      <c r="J115"/>
      <c r="K115" s="26"/>
      <c r="L115"/>
      <c r="M115"/>
      <c r="N115" s="2"/>
      <c r="O115" s="26"/>
      <c r="P115" s="2"/>
      <c r="Q115"/>
      <c r="R115"/>
      <c r="S115" s="26"/>
      <c r="T115"/>
      <c r="U115"/>
      <c r="V115"/>
      <c r="W115" s="26"/>
      <c r="X115"/>
      <c r="Y115"/>
      <c r="Z115"/>
      <c r="AA115" s="26"/>
      <c r="AB115"/>
      <c r="AC115"/>
      <c r="AD115"/>
      <c r="AE115" s="26"/>
      <c r="AF115"/>
      <c r="AG115"/>
      <c r="AH115"/>
      <c r="AI115"/>
      <c r="AJ115"/>
    </row>
    <row r="116" spans="1:36" ht="20.55" customHeight="1"/>
    <row r="117" spans="1:36" s="8" customFormat="1" ht="20.55" customHeight="1">
      <c r="A117" s="19"/>
      <c r="B117" s="35"/>
      <c r="C117"/>
      <c r="D117" s="2"/>
      <c r="E117"/>
      <c r="F117"/>
      <c r="G117" s="26"/>
      <c r="H117"/>
      <c r="I117"/>
      <c r="J117"/>
      <c r="K117" s="26"/>
      <c r="L117"/>
      <c r="M117"/>
      <c r="N117" s="2"/>
      <c r="O117" s="26"/>
      <c r="P117" s="2"/>
      <c r="Q117"/>
      <c r="R117"/>
      <c r="S117" s="26"/>
      <c r="T117"/>
      <c r="U117"/>
      <c r="V117"/>
      <c r="W117" s="26"/>
      <c r="X117"/>
      <c r="Y117"/>
      <c r="Z117"/>
      <c r="AA117" s="26"/>
      <c r="AB117"/>
      <c r="AC117"/>
      <c r="AD117"/>
      <c r="AE117" s="26"/>
      <c r="AF117"/>
      <c r="AG117"/>
      <c r="AH117"/>
      <c r="AI117"/>
      <c r="AJ117"/>
    </row>
  </sheetData>
  <autoFilter ref="A1:AJ77" xr:uid="{83CF93B3-C431-49F1-A590-E27AEBEF8623}"/>
  <sortState xmlns:xlrd2="http://schemas.microsoft.com/office/spreadsheetml/2017/richdata2" ref="B1:AA121">
    <sortCondition descending="1" ref="P1:P121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715B-81A2-0542-81EC-ADD0BDD5FFA4}">
  <dimension ref="A1:AN181"/>
  <sheetViews>
    <sheetView view="pageBreakPreview" zoomScale="70" zoomScaleNormal="100" zoomScaleSheetLayoutView="70" workbookViewId="0">
      <pane ySplit="1" topLeftCell="A2" activePane="bottomLeft" state="frozen"/>
      <selection activeCell="AD1" sqref="AD1"/>
      <selection pane="bottomLeft" activeCell="AW38" sqref="AW38"/>
    </sheetView>
  </sheetViews>
  <sheetFormatPr defaultColWidth="8.77734375" defaultRowHeight="14.4"/>
  <cols>
    <col min="1" max="1" width="29.109375" bestFit="1" customWidth="1"/>
    <col min="2" max="2" width="18.6640625" style="2" bestFit="1" customWidth="1"/>
    <col min="3" max="3" width="16.109375" bestFit="1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1.4414062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1.44140625" bestFit="1" customWidth="1"/>
    <col min="19" max="19" width="14" bestFit="1" customWidth="1"/>
    <col min="20" max="20" width="11.44140625" style="26" customWidth="1"/>
    <col min="21" max="22" width="12.6640625" customWidth="1"/>
    <col min="23" max="23" width="11.4414062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1.4414062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4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40" s="229" customFormat="1" ht="20.55" customHeight="1">
      <c r="A2" s="231" t="s">
        <v>282</v>
      </c>
      <c r="B2" s="212" t="s">
        <v>283</v>
      </c>
      <c r="C2" s="235">
        <v>0.65277777777777779</v>
      </c>
      <c r="D2" s="235">
        <v>0.65972222222222221</v>
      </c>
      <c r="E2" s="211">
        <f>SUM(D2-C2)</f>
        <v>6.9444444444444198E-3</v>
      </c>
      <c r="F2" s="220">
        <v>199</v>
      </c>
      <c r="G2" s="223">
        <v>199</v>
      </c>
      <c r="H2" s="235">
        <v>0.66527777777777775</v>
      </c>
      <c r="I2" s="235">
        <v>0.67222222222222217</v>
      </c>
      <c r="J2" s="211">
        <f>SUM(I2-H2)</f>
        <v>6.9444444444444198E-3</v>
      </c>
      <c r="K2" s="220">
        <v>91.25</v>
      </c>
      <c r="L2" s="223">
        <f>SUM(K2*0.6)</f>
        <v>54.75</v>
      </c>
      <c r="M2" s="235">
        <v>0.67638888888888893</v>
      </c>
      <c r="N2" s="235">
        <v>0.68333333333333324</v>
      </c>
      <c r="O2" s="211">
        <f>SUM(N2-M2)</f>
        <v>6.9444444444443088E-3</v>
      </c>
      <c r="P2" s="208">
        <v>157.91</v>
      </c>
      <c r="Q2" s="223">
        <f>SUM(P2*0.6)</f>
        <v>94.745999999999995</v>
      </c>
      <c r="R2" s="235">
        <v>0.69166666666666676</v>
      </c>
      <c r="S2" s="235">
        <v>0.69930555555555562</v>
      </c>
      <c r="T2" s="211">
        <f>SUM(S2-R2)</f>
        <v>7.6388888888888618E-3</v>
      </c>
      <c r="U2" s="208">
        <v>130.13999999999999</v>
      </c>
      <c r="V2" s="223">
        <f>SUM(U2*0.6)</f>
        <v>78.083999999999989</v>
      </c>
      <c r="W2" s="235">
        <v>0.70416666666666661</v>
      </c>
      <c r="X2" s="235">
        <v>0.70763888888888893</v>
      </c>
      <c r="Y2" s="211">
        <f>SUM(X2-W2)</f>
        <v>3.4722222222223209E-3</v>
      </c>
      <c r="Z2" s="224">
        <v>0</v>
      </c>
      <c r="AA2" s="223">
        <f>SUM(Z2*0.6)</f>
        <v>0</v>
      </c>
      <c r="AB2" s="235">
        <v>0.71180555555555547</v>
      </c>
      <c r="AC2" s="235">
        <v>0.71458333333333324</v>
      </c>
      <c r="AD2" s="211">
        <f>SUM(AC2-AB2)</f>
        <v>2.7777777777777679E-3</v>
      </c>
      <c r="AE2" s="224">
        <v>199</v>
      </c>
      <c r="AF2" s="223">
        <v>199</v>
      </c>
      <c r="AG2" s="235">
        <v>0.72638888888888886</v>
      </c>
      <c r="AH2" s="235">
        <v>0.72638888888888886</v>
      </c>
      <c r="AI2" s="211">
        <f>SUM(AH2-AG2)</f>
        <v>0</v>
      </c>
      <c r="AJ2" s="226">
        <f>SUM(E2+J2+O2+T2+Y2+AD2+AI2)</f>
        <v>3.4722222222222099E-2</v>
      </c>
      <c r="AK2" s="227">
        <f>SUM(G2+L2+Q2+V2+AA2+AF2)</f>
        <v>625.57999999999993</v>
      </c>
      <c r="AL2" s="228">
        <f>AK2/85400</f>
        <v>7.3252927400468378E-3</v>
      </c>
      <c r="AM2" s="228">
        <f>SUM(AJ2+AL2)</f>
        <v>4.2047514962268939E-2</v>
      </c>
      <c r="AN2" s="12" t="s">
        <v>198</v>
      </c>
    </row>
    <row r="3" spans="1:40">
      <c r="E3"/>
      <c r="J3"/>
      <c r="O3"/>
      <c r="T3"/>
      <c r="Y3"/>
      <c r="AD3"/>
      <c r="AI3"/>
    </row>
    <row r="4" spans="1:40">
      <c r="E4"/>
      <c r="J4"/>
      <c r="O4"/>
      <c r="T4"/>
      <c r="Y4"/>
      <c r="AD4"/>
      <c r="AI4"/>
    </row>
    <row r="5" spans="1:40">
      <c r="E5"/>
      <c r="J5"/>
      <c r="O5"/>
      <c r="T5"/>
      <c r="Y5"/>
      <c r="AD5"/>
      <c r="AI5"/>
    </row>
    <row r="6" spans="1:40">
      <c r="E6"/>
      <c r="J6"/>
      <c r="O6"/>
      <c r="T6"/>
      <c r="Y6"/>
      <c r="AD6"/>
      <c r="AI6"/>
    </row>
    <row r="7" spans="1:40">
      <c r="E7"/>
      <c r="J7"/>
      <c r="O7"/>
      <c r="T7"/>
      <c r="Y7"/>
      <c r="AD7"/>
      <c r="AI7"/>
    </row>
    <row r="8" spans="1:40">
      <c r="E8"/>
      <c r="J8"/>
      <c r="O8"/>
      <c r="T8"/>
      <c r="Y8"/>
      <c r="AD8"/>
      <c r="AI8"/>
    </row>
    <row r="9" spans="1:40">
      <c r="E9"/>
      <c r="J9"/>
      <c r="O9"/>
      <c r="T9"/>
      <c r="Y9"/>
      <c r="AD9"/>
      <c r="AI9"/>
    </row>
    <row r="10" spans="1:40">
      <c r="E10"/>
      <c r="J10"/>
      <c r="O10"/>
      <c r="T10"/>
      <c r="Y10"/>
      <c r="AD10"/>
      <c r="AI10"/>
    </row>
    <row r="11" spans="1:40">
      <c r="E11"/>
      <c r="J11"/>
      <c r="O11"/>
      <c r="T11"/>
      <c r="Y11"/>
      <c r="AD11"/>
      <c r="AI11"/>
    </row>
    <row r="12" spans="1:40">
      <c r="E12"/>
      <c r="J12"/>
      <c r="O12"/>
      <c r="T12"/>
      <c r="Y12"/>
      <c r="AD12"/>
      <c r="AI12"/>
    </row>
    <row r="13" spans="1:40">
      <c r="E13"/>
      <c r="J13"/>
      <c r="O13"/>
      <c r="T13"/>
      <c r="Y13"/>
      <c r="AD13"/>
      <c r="AI13"/>
    </row>
    <row r="14" spans="1:40">
      <c r="E14"/>
      <c r="J14"/>
      <c r="O14"/>
      <c r="T14"/>
      <c r="Y14"/>
      <c r="AD14"/>
      <c r="AI14"/>
    </row>
    <row r="15" spans="1:40">
      <c r="E15"/>
      <c r="J15"/>
      <c r="O15"/>
      <c r="T15"/>
      <c r="Y15"/>
      <c r="AD15"/>
      <c r="AI15"/>
    </row>
    <row r="16" spans="1:4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</sheetData>
  <autoFilter ref="A1:AN1" xr:uid="{83CF93B3-C431-49F1-A590-E27AEBEF8623}"/>
  <pageMargins left="0.25" right="0.25" top="0.75" bottom="0.75" header="0.3" footer="0.3"/>
  <pageSetup scale="21" orientation="landscape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EA08-CC55-4416-B1B1-F2E8C44DA0C2}">
  <dimension ref="A1:AJ6"/>
  <sheetViews>
    <sheetView workbookViewId="0"/>
  </sheetViews>
  <sheetFormatPr defaultColWidth="8.77734375" defaultRowHeight="14.4"/>
  <sheetData>
    <row r="1" spans="1:36" s="93" customFormat="1" ht="75" customHeight="1">
      <c r="A1" s="12"/>
      <c r="B1" s="17"/>
      <c r="C1" s="13"/>
      <c r="D1" s="3"/>
      <c r="E1" s="14"/>
      <c r="F1" s="15"/>
      <c r="G1" s="24"/>
      <c r="H1" s="10"/>
      <c r="I1" s="14"/>
      <c r="J1" s="15"/>
      <c r="K1" s="24"/>
      <c r="L1" s="10"/>
      <c r="M1" s="14"/>
      <c r="N1" s="15"/>
      <c r="O1" s="24"/>
      <c r="P1" s="10"/>
      <c r="Q1" s="14"/>
      <c r="R1" s="15"/>
      <c r="S1" s="24"/>
      <c r="T1" s="10"/>
      <c r="U1" s="14"/>
      <c r="V1" s="15"/>
      <c r="W1" s="24"/>
      <c r="X1" s="11"/>
      <c r="Y1" s="14"/>
      <c r="Z1" s="15"/>
      <c r="AA1" s="24"/>
      <c r="AB1" s="11"/>
      <c r="AC1" s="14"/>
      <c r="AD1" s="16"/>
      <c r="AE1" s="24"/>
      <c r="AF1" s="14"/>
      <c r="AG1" s="10"/>
      <c r="AH1" s="10"/>
      <c r="AI1" s="27"/>
      <c r="AJ1" s="13"/>
    </row>
    <row r="2" spans="1:36" s="94" customFormat="1" ht="20.55" customHeight="1">
      <c r="A2" s="22"/>
      <c r="B2" s="28"/>
      <c r="C2" s="40"/>
      <c r="D2" s="40"/>
      <c r="E2" s="29"/>
      <c r="F2" s="99"/>
      <c r="G2" s="30"/>
      <c r="H2" s="40"/>
      <c r="I2" s="99"/>
      <c r="J2" s="99"/>
      <c r="K2" s="30"/>
      <c r="L2" s="107"/>
      <c r="M2" s="99"/>
      <c r="N2" s="99"/>
      <c r="O2" s="30"/>
      <c r="P2" s="107"/>
      <c r="Q2" s="99"/>
      <c r="R2" s="99"/>
      <c r="S2" s="30"/>
      <c r="T2" s="40"/>
      <c r="U2" s="99"/>
      <c r="V2" s="99"/>
      <c r="W2" s="30"/>
      <c r="X2" s="40"/>
      <c r="Y2" s="99"/>
      <c r="Z2" s="99"/>
      <c r="AA2" s="30"/>
      <c r="AB2" s="110"/>
      <c r="AC2" s="99"/>
      <c r="AD2" s="99"/>
      <c r="AE2" s="30"/>
      <c r="AF2" s="37"/>
      <c r="AG2" s="31"/>
      <c r="AH2" s="37"/>
      <c r="AI2" s="37"/>
      <c r="AJ2" s="7"/>
    </row>
    <row r="3" spans="1:36" s="94" customFormat="1" ht="20.55" customHeight="1">
      <c r="A3" s="22"/>
      <c r="B3" s="28"/>
      <c r="C3" s="40"/>
      <c r="D3" s="40"/>
      <c r="E3" s="29"/>
      <c r="F3" s="99"/>
      <c r="G3" s="30"/>
      <c r="H3" s="107"/>
      <c r="I3" s="99"/>
      <c r="J3" s="99"/>
      <c r="K3" s="30"/>
      <c r="L3" s="40"/>
      <c r="M3" s="99"/>
      <c r="N3" s="99"/>
      <c r="O3" s="30"/>
      <c r="P3" s="40"/>
      <c r="Q3" s="99"/>
      <c r="R3" s="99"/>
      <c r="S3" s="30"/>
      <c r="T3" s="107"/>
      <c r="U3" s="99"/>
      <c r="V3" s="99"/>
      <c r="W3" s="30"/>
      <c r="X3" s="107"/>
      <c r="Y3" s="99"/>
      <c r="Z3" s="99"/>
      <c r="AA3" s="30"/>
      <c r="AB3" s="110"/>
      <c r="AC3" s="99"/>
      <c r="AD3" s="99"/>
      <c r="AE3" s="30"/>
      <c r="AF3" s="37"/>
      <c r="AG3" s="31"/>
      <c r="AH3" s="37"/>
      <c r="AI3" s="37"/>
      <c r="AJ3" s="7"/>
    </row>
    <row r="4" spans="1:36" s="2" customFormat="1" ht="20.55" customHeight="1">
      <c r="A4" s="23"/>
      <c r="B4" s="28"/>
      <c r="C4" s="40"/>
      <c r="D4" s="40"/>
      <c r="E4" s="29"/>
      <c r="F4" s="99"/>
      <c r="G4" s="30"/>
      <c r="H4" s="109"/>
      <c r="I4" s="99"/>
      <c r="J4" s="99"/>
      <c r="K4" s="30"/>
      <c r="L4" s="40"/>
      <c r="M4" s="99"/>
      <c r="N4" s="99"/>
      <c r="O4" s="30"/>
      <c r="P4" s="40"/>
      <c r="Q4" s="99"/>
      <c r="R4" s="99"/>
      <c r="S4" s="30"/>
      <c r="T4" s="40"/>
      <c r="U4" s="99"/>
      <c r="V4" s="99"/>
      <c r="W4" s="30"/>
      <c r="X4" s="40"/>
      <c r="Y4" s="99"/>
      <c r="Z4" s="99"/>
      <c r="AA4" s="30"/>
      <c r="AB4" s="110"/>
      <c r="AC4" s="99"/>
      <c r="AD4" s="99"/>
      <c r="AE4" s="30"/>
      <c r="AF4" s="37"/>
      <c r="AG4" s="31"/>
      <c r="AH4" s="37"/>
      <c r="AI4" s="37"/>
      <c r="AJ4" s="4"/>
    </row>
    <row r="5" spans="1:36" s="2" customFormat="1" ht="20.55" customHeight="1">
      <c r="A5" s="23"/>
      <c r="B5" s="28"/>
      <c r="C5" s="40"/>
      <c r="D5" s="40"/>
      <c r="E5" s="29"/>
      <c r="F5" s="99"/>
      <c r="G5" s="30"/>
      <c r="H5" s="40"/>
      <c r="I5" s="99"/>
      <c r="J5" s="99"/>
      <c r="K5" s="30"/>
      <c r="L5" s="40"/>
      <c r="M5" s="99"/>
      <c r="N5" s="99"/>
      <c r="O5" s="30"/>
      <c r="P5" s="40"/>
      <c r="Q5" s="99"/>
      <c r="R5" s="99"/>
      <c r="S5" s="30"/>
      <c r="T5" s="109"/>
      <c r="U5" s="99"/>
      <c r="V5" s="99"/>
      <c r="W5" s="30"/>
      <c r="X5" s="40"/>
      <c r="Y5" s="99"/>
      <c r="Z5" s="99"/>
      <c r="AA5" s="30"/>
      <c r="AB5" s="110"/>
      <c r="AC5" s="99"/>
      <c r="AD5" s="99"/>
      <c r="AE5" s="30"/>
      <c r="AF5" s="37"/>
      <c r="AG5" s="31"/>
      <c r="AH5" s="37"/>
      <c r="AI5" s="37"/>
      <c r="AJ5" s="4"/>
    </row>
    <row r="6" spans="1:36" s="94" customFormat="1" ht="20.55" customHeight="1">
      <c r="A6" s="23"/>
      <c r="B6" s="28"/>
      <c r="C6" s="40"/>
      <c r="D6" s="40"/>
      <c r="E6" s="29"/>
      <c r="F6" s="99"/>
      <c r="G6" s="30"/>
      <c r="H6" s="40"/>
      <c r="I6" s="99"/>
      <c r="J6" s="99"/>
      <c r="K6" s="30"/>
      <c r="L6" s="40"/>
      <c r="M6" s="99"/>
      <c r="N6" s="99"/>
      <c r="O6" s="30"/>
      <c r="P6" s="40"/>
      <c r="Q6" s="99"/>
      <c r="R6" s="99"/>
      <c r="S6" s="30"/>
      <c r="T6" s="109"/>
      <c r="U6" s="99"/>
      <c r="V6" s="99"/>
      <c r="W6" s="30"/>
      <c r="X6" s="40"/>
      <c r="Y6" s="99"/>
      <c r="Z6" s="99"/>
      <c r="AA6" s="30"/>
      <c r="AB6" s="110"/>
      <c r="AC6" s="99"/>
      <c r="AD6" s="99"/>
      <c r="AE6" s="30"/>
      <c r="AF6" s="37"/>
      <c r="AG6" s="31"/>
      <c r="AH6" s="37"/>
      <c r="AI6" s="37"/>
      <c r="AJ6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B664-E6EE-4CDE-8407-03307390103A}">
  <dimension ref="A1:AJ5"/>
  <sheetViews>
    <sheetView workbookViewId="0">
      <selection activeCell="AH15" sqref="AH15"/>
    </sheetView>
  </sheetViews>
  <sheetFormatPr defaultColWidth="8.77734375" defaultRowHeight="14.4"/>
  <sheetData>
    <row r="1" spans="1:36" s="93" customFormat="1" ht="75" customHeight="1">
      <c r="A1" s="12"/>
      <c r="B1" s="17" t="s">
        <v>0</v>
      </c>
      <c r="C1" s="13" t="s">
        <v>1</v>
      </c>
      <c r="D1" s="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2" customFormat="1" ht="20.55" customHeight="1">
      <c r="A2" s="22" t="s">
        <v>36</v>
      </c>
      <c r="B2" s="42" t="s">
        <v>216</v>
      </c>
      <c r="C2" s="49" t="s">
        <v>217</v>
      </c>
      <c r="D2" s="49" t="s">
        <v>147</v>
      </c>
      <c r="E2" s="43" t="s">
        <v>218</v>
      </c>
      <c r="F2" s="100">
        <f>TIME(10,10,1)</f>
        <v>0.4236226851851852</v>
      </c>
      <c r="G2" s="70">
        <f>SUM(F2-E2)</f>
        <v>2.7893518518518623E-3</v>
      </c>
      <c r="H2" s="49">
        <v>116</v>
      </c>
      <c r="I2" s="100">
        <v>0.42499999999999999</v>
      </c>
      <c r="J2" s="100">
        <v>0.53333333333333333</v>
      </c>
      <c r="K2" s="70">
        <f>SUM(J2-I2)</f>
        <v>0.10833333333333334</v>
      </c>
      <c r="L2" s="107">
        <v>69</v>
      </c>
      <c r="M2" s="100">
        <v>9.4444444444444442E-2</v>
      </c>
      <c r="N2" s="100">
        <v>0.1013888888888889</v>
      </c>
      <c r="O2" s="70">
        <f>SUM(N2-M2)</f>
        <v>6.9444444444444614E-3</v>
      </c>
      <c r="P2" s="107">
        <v>162</v>
      </c>
      <c r="Q2" s="100">
        <v>0.18055555555555555</v>
      </c>
      <c r="R2" s="100">
        <v>0.18680555555555556</v>
      </c>
      <c r="S2" s="70">
        <f>SUM(R2-Q2)</f>
        <v>6.2500000000000056E-3</v>
      </c>
      <c r="T2" s="49">
        <v>165</v>
      </c>
      <c r="U2" s="100">
        <v>0.20972222222222223</v>
      </c>
      <c r="V2" s="100">
        <v>0.21388888888888891</v>
      </c>
      <c r="W2" s="70">
        <f>SUM(V2-U2)</f>
        <v>4.1666666666666796E-3</v>
      </c>
      <c r="X2" s="49">
        <v>130</v>
      </c>
      <c r="Y2" s="100">
        <v>0.25277777777777777</v>
      </c>
      <c r="Z2" s="100">
        <v>0.26527777777777778</v>
      </c>
      <c r="AA2" s="70">
        <f>SUM(Z2-Y2)</f>
        <v>1.2500000000000011E-2</v>
      </c>
      <c r="AB2" s="71">
        <v>0</v>
      </c>
      <c r="AC2" s="100">
        <v>0.26666666666666666</v>
      </c>
      <c r="AD2" s="100">
        <v>0.27083333333333331</v>
      </c>
      <c r="AE2" s="70">
        <f>SUM(AD2-AC2)</f>
        <v>4.1666666666666519E-3</v>
      </c>
      <c r="AF2" s="72">
        <f>SUM(G2+K2+O2+S2+W2+AA2+AE2)</f>
        <v>0.14515046296296302</v>
      </c>
      <c r="AG2" s="71">
        <f>SUM(H2+L2+P2+T2+X2-AB2)</f>
        <v>642</v>
      </c>
      <c r="AH2" s="72">
        <f>AG2/85400</f>
        <v>7.5175644028103042E-3</v>
      </c>
      <c r="AI2" s="72">
        <f>SUM(AF2+AH2)</f>
        <v>0.15266802736577334</v>
      </c>
      <c r="AJ2" s="4">
        <v>1</v>
      </c>
    </row>
    <row r="3" spans="1:36" s="2" customFormat="1" ht="20.55" customHeight="1">
      <c r="A3" s="22" t="s">
        <v>36</v>
      </c>
      <c r="B3" s="42" t="s">
        <v>221</v>
      </c>
      <c r="C3" s="49" t="s">
        <v>222</v>
      </c>
      <c r="D3" s="49" t="s">
        <v>147</v>
      </c>
      <c r="E3" s="43" t="s">
        <v>218</v>
      </c>
      <c r="F3" s="100">
        <f>TIME(10,10,1)</f>
        <v>0.4236226851851852</v>
      </c>
      <c r="G3" s="70">
        <f>SUM(F3-E3)</f>
        <v>2.7893518518518623E-3</v>
      </c>
      <c r="H3" s="49">
        <v>159</v>
      </c>
      <c r="I3" s="100">
        <v>0.42499999999999999</v>
      </c>
      <c r="J3" s="100">
        <v>0.53333333333333333</v>
      </c>
      <c r="K3" s="70">
        <f>SUM(J3-I3)</f>
        <v>0.10833333333333334</v>
      </c>
      <c r="L3" s="49">
        <v>93</v>
      </c>
      <c r="M3" s="100">
        <v>9.4444444444444442E-2</v>
      </c>
      <c r="N3" s="100">
        <v>0.1013888888888889</v>
      </c>
      <c r="O3" s="70">
        <f>SUM(N3-M3)</f>
        <v>6.9444444444444614E-3</v>
      </c>
      <c r="P3" s="49">
        <v>177</v>
      </c>
      <c r="Q3" s="100">
        <v>0.18055555555555555</v>
      </c>
      <c r="R3" s="100">
        <v>0.18680555555555556</v>
      </c>
      <c r="S3" s="70">
        <f>SUM(R3-Q3)</f>
        <v>6.2500000000000056E-3</v>
      </c>
      <c r="T3" s="49">
        <v>130</v>
      </c>
      <c r="U3" s="100">
        <v>0.20972222222222223</v>
      </c>
      <c r="V3" s="100">
        <v>0.21388888888888891</v>
      </c>
      <c r="W3" s="70">
        <f>SUM(V3-U3)</f>
        <v>4.1666666666666796E-3</v>
      </c>
      <c r="X3" s="49">
        <v>140</v>
      </c>
      <c r="Y3" s="100">
        <v>0.25416666666666665</v>
      </c>
      <c r="Z3" s="100">
        <v>0.26805555555555555</v>
      </c>
      <c r="AA3" s="70">
        <f>SUM(Z3-Y3)</f>
        <v>1.3888888888888895E-2</v>
      </c>
      <c r="AB3" s="71">
        <v>-5</v>
      </c>
      <c r="AC3" s="100">
        <v>0.26944444444444443</v>
      </c>
      <c r="AD3" s="100">
        <v>0.28125</v>
      </c>
      <c r="AE3" s="70">
        <f>SUM(AD3-AC3)</f>
        <v>1.1805555555555569E-2</v>
      </c>
      <c r="AF3" s="72">
        <f>SUM(G3+K3+O3+S3+W3+AA3+AE3)</f>
        <v>0.15417824074074082</v>
      </c>
      <c r="AG3" s="71">
        <f>SUM(H3+L3+P3+T3+X3-AB3)</f>
        <v>704</v>
      </c>
      <c r="AH3" s="72">
        <f>AG3/85400</f>
        <v>8.243559718969555E-3</v>
      </c>
      <c r="AI3" s="72">
        <f>SUM(AF3+AH3)</f>
        <v>0.16242180045971039</v>
      </c>
      <c r="AJ3" s="4">
        <v>2</v>
      </c>
    </row>
    <row r="4" spans="1:36" s="94" customFormat="1" ht="20.55" customHeight="1">
      <c r="A4" s="23" t="s">
        <v>41</v>
      </c>
      <c r="B4" s="42" t="s">
        <v>231</v>
      </c>
      <c r="C4" s="49" t="s">
        <v>232</v>
      </c>
      <c r="D4" s="49" t="s">
        <v>147</v>
      </c>
      <c r="E4" s="43" t="s">
        <v>218</v>
      </c>
      <c r="F4" s="100">
        <f>TIME(10,10,1)</f>
        <v>0.4236226851851852</v>
      </c>
      <c r="G4" s="70">
        <f>SUM(F4-E4)</f>
        <v>2.7893518518518623E-3</v>
      </c>
      <c r="H4" s="107">
        <v>112.78</v>
      </c>
      <c r="I4" s="100">
        <v>0.42499999999999999</v>
      </c>
      <c r="J4" s="100">
        <v>0.53333333333333333</v>
      </c>
      <c r="K4" s="70">
        <f>SUM(J4-I4)</f>
        <v>0.10833333333333334</v>
      </c>
      <c r="L4" s="49">
        <v>85.06</v>
      </c>
      <c r="M4" s="100">
        <v>9.4444444444444442E-2</v>
      </c>
      <c r="N4" s="100">
        <v>0.1013888888888889</v>
      </c>
      <c r="O4" s="70">
        <f>SUM(N4-M4)</f>
        <v>6.9444444444444614E-3</v>
      </c>
      <c r="P4" s="49">
        <v>177.1</v>
      </c>
      <c r="Q4" s="100">
        <v>0.18055555555555555</v>
      </c>
      <c r="R4" s="100">
        <v>0.18680555555555556</v>
      </c>
      <c r="S4" s="70">
        <f>SUM(R4-Q4)</f>
        <v>6.2500000000000056E-3</v>
      </c>
      <c r="T4" s="109">
        <v>180</v>
      </c>
      <c r="U4" s="100">
        <v>0.20972222222222223</v>
      </c>
      <c r="V4" s="100">
        <v>0.21388888888888891</v>
      </c>
      <c r="W4" s="70">
        <f>SUM(V4-U4)</f>
        <v>4.1666666666666796E-3</v>
      </c>
      <c r="X4" s="49">
        <v>144</v>
      </c>
      <c r="Y4" s="100">
        <v>0.26041666666666669</v>
      </c>
      <c r="Z4" s="100">
        <v>0.27777777777777779</v>
      </c>
      <c r="AA4" s="70">
        <f>SUM(Z4-Y4)</f>
        <v>1.7361111111111105E-2</v>
      </c>
      <c r="AB4" s="71">
        <v>0</v>
      </c>
      <c r="AC4" s="100">
        <v>0.28472222222222221</v>
      </c>
      <c r="AD4" s="100">
        <v>0.2951388888888889</v>
      </c>
      <c r="AE4" s="70">
        <f>SUM(AD4-AC4)</f>
        <v>1.0416666666666685E-2</v>
      </c>
      <c r="AF4" s="72">
        <f>SUM(G4+K4+O4+S4+W4+AA4+AE4)</f>
        <v>0.15626157407407415</v>
      </c>
      <c r="AG4" s="71">
        <f>SUM(H4+L4+P4+T4+X4-AB4)</f>
        <v>698.94</v>
      </c>
      <c r="AH4" s="72">
        <f>AG4/85400</f>
        <v>8.1843091334894615E-3</v>
      </c>
      <c r="AI4" s="72">
        <f>SUM(AF4+AH4)</f>
        <v>0.16444588320756362</v>
      </c>
      <c r="AJ4" s="7">
        <v>3</v>
      </c>
    </row>
    <row r="5" spans="1:36" s="2" customFormat="1" ht="20.55" customHeight="1">
      <c r="A5" s="111"/>
      <c r="B5" s="112"/>
      <c r="C5" s="113"/>
      <c r="D5" s="113"/>
      <c r="E5" s="112"/>
      <c r="F5" s="114"/>
      <c r="G5" s="115"/>
      <c r="H5" s="113"/>
      <c r="I5" s="114"/>
      <c r="J5" s="114"/>
      <c r="K5" s="115"/>
      <c r="L5" s="113"/>
      <c r="M5" s="114"/>
      <c r="N5" s="114"/>
      <c r="O5" s="115"/>
      <c r="P5" s="113"/>
      <c r="Q5" s="114"/>
      <c r="R5" s="114"/>
      <c r="S5" s="115"/>
      <c r="T5" s="113"/>
      <c r="U5" s="114"/>
      <c r="V5" s="114"/>
      <c r="W5" s="115"/>
      <c r="X5" s="113"/>
      <c r="Y5" s="114"/>
      <c r="Z5" s="114"/>
      <c r="AA5" s="115"/>
      <c r="AB5" s="116"/>
      <c r="AC5" s="114"/>
      <c r="AD5" s="114"/>
      <c r="AE5" s="115"/>
      <c r="AF5" s="117"/>
      <c r="AG5" s="116"/>
      <c r="AH5" s="117"/>
      <c r="AI5" s="1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02CD-3541-43A7-809F-59A82A3506D3}">
  <dimension ref="A1:AU119"/>
  <sheetViews>
    <sheetView view="pageBreakPreview" zoomScale="89" zoomScaleNormal="100" zoomScaleSheetLayoutView="89" workbookViewId="0">
      <pane ySplit="1" topLeftCell="A2" activePane="bottomLeft" state="frozen"/>
      <selection activeCell="AD1" sqref="AD1"/>
      <selection pane="bottomLeft" activeCell="Z12" sqref="Z12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bestFit="1" customWidth="1"/>
    <col min="7" max="7" width="9.77734375" style="26" customWidth="1"/>
    <col min="8" max="8" width="11.44140625" customWidth="1"/>
    <col min="9" max="9" width="15.6640625" customWidth="1"/>
    <col min="10" max="10" width="14" bestFit="1" customWidth="1"/>
    <col min="11" max="11" width="18.109375" style="26" bestFit="1" customWidth="1"/>
    <col min="12" max="12" width="12.33203125" bestFit="1" customWidth="1"/>
    <col min="13" max="13" width="11.44140625" bestFit="1" customWidth="1"/>
    <col min="14" max="14" width="14" style="2" bestFit="1" customWidth="1"/>
    <col min="15" max="15" width="11.44140625" style="26" customWidth="1"/>
    <col min="16" max="16" width="9.6640625" style="2" bestFit="1" customWidth="1"/>
    <col min="17" max="17" width="11.44140625" bestFit="1" customWidth="1"/>
    <col min="18" max="18" width="14" bestFit="1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47" s="9" customFormat="1" ht="19.2" customHeight="1">
      <c r="A2" s="50" t="s">
        <v>111</v>
      </c>
      <c r="B2" s="56" t="s">
        <v>184</v>
      </c>
      <c r="C2" s="138" t="s">
        <v>185</v>
      </c>
      <c r="D2" s="145" t="s">
        <v>186</v>
      </c>
      <c r="E2" s="156">
        <v>0.52847222222222223</v>
      </c>
      <c r="F2" s="156">
        <v>0.53055555555555556</v>
      </c>
      <c r="G2" s="62">
        <f>SUM(F2-E2)</f>
        <v>2.0833333333333259E-3</v>
      </c>
      <c r="H2" s="124">
        <f>A2+131.29/1440</f>
        <v>1240.0911736111111</v>
      </c>
      <c r="I2" s="62">
        <v>0.55138888888888882</v>
      </c>
      <c r="J2" s="62">
        <v>0.56111111111111112</v>
      </c>
      <c r="K2" s="62">
        <f>SUM(J2-I2)</f>
        <v>9.7222222222222987E-3</v>
      </c>
      <c r="L2" s="70">
        <f>A1+124.86/1440</f>
        <v>8.6708333333333332E-2</v>
      </c>
      <c r="M2" s="62">
        <v>0.57013888888888886</v>
      </c>
      <c r="N2" s="62">
        <v>0.57638888888888895</v>
      </c>
      <c r="O2" s="62">
        <f>SUM(N2-M2)</f>
        <v>6.2500000000000888E-3</v>
      </c>
      <c r="P2" s="121">
        <f>A2+188.79/1440</f>
        <v>1240.1311041666668</v>
      </c>
      <c r="Q2" s="123">
        <v>0.59861111111111109</v>
      </c>
      <c r="R2" s="123">
        <v>0.60555555555555551</v>
      </c>
      <c r="S2" s="62">
        <f>SUM(R2-Q2)</f>
        <v>6.9444444444444198E-3</v>
      </c>
      <c r="T2" s="70">
        <f>A2+180/1440</f>
        <v>1240.125</v>
      </c>
      <c r="U2" s="123">
        <v>0.62361111111111112</v>
      </c>
      <c r="V2" s="62">
        <v>0.62847222222222221</v>
      </c>
      <c r="W2" s="62">
        <f>SUM(V2-U2)</f>
        <v>4.8611111111110938E-3</v>
      </c>
      <c r="X2" s="160">
        <v>93.23</v>
      </c>
      <c r="Y2" s="62">
        <v>0.63680555555555551</v>
      </c>
      <c r="Z2" s="70">
        <v>0.65</v>
      </c>
      <c r="AA2" s="62">
        <f>SUM(Z2-Y2)</f>
        <v>1.3194444444444509E-2</v>
      </c>
      <c r="AB2" s="63"/>
      <c r="AC2" s="70">
        <v>0.65902777777777777</v>
      </c>
      <c r="AD2" s="62">
        <v>0.65972222222222221</v>
      </c>
      <c r="AE2" s="62">
        <f>SUM(AD2-AC2)</f>
        <v>6.9444444444444198E-4</v>
      </c>
      <c r="AF2" s="64">
        <f>SUM(G2+K2+O2+S2+W2+AA2+AE2)</f>
        <v>4.3750000000000178E-2</v>
      </c>
      <c r="AG2" s="63">
        <f>SUM(H2+L2+P2+T2+X2-AB2)</f>
        <v>3813.6639861111112</v>
      </c>
      <c r="AH2" s="64">
        <f>AG2/85400</f>
        <v>4.4656486956804582E-2</v>
      </c>
      <c r="AI2" s="64">
        <f>SUM(AF2+AH2)</f>
        <v>8.8406486956804753E-2</v>
      </c>
      <c r="AJ2" s="59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>
      <c r="A3" s="132" t="s">
        <v>92</v>
      </c>
      <c r="B3" s="56" t="s">
        <v>187</v>
      </c>
      <c r="C3" s="138" t="s">
        <v>188</v>
      </c>
      <c r="D3" s="145" t="s">
        <v>186</v>
      </c>
      <c r="E3" s="156">
        <v>0.45833333333333331</v>
      </c>
      <c r="F3" s="156">
        <v>0.4604166666666667</v>
      </c>
      <c r="G3" s="62">
        <f>SUM(F3-E3)</f>
        <v>2.0833333333333814E-3</v>
      </c>
      <c r="H3" s="124">
        <f>A3+150.21/1440</f>
        <v>1100.1043125000001</v>
      </c>
      <c r="I3" s="62">
        <v>0.50763888888888886</v>
      </c>
      <c r="J3" s="62">
        <v>0.5131944444444444</v>
      </c>
      <c r="K3" s="62">
        <f>SUM(J3-I3)</f>
        <v>5.5555555555555358E-3</v>
      </c>
      <c r="L3" s="70">
        <f>A2+82.31/1440</f>
        <v>1240.0571597222222</v>
      </c>
      <c r="M3" s="62">
        <v>0.5229166666666667</v>
      </c>
      <c r="N3" s="62">
        <v>0.52847222222222223</v>
      </c>
      <c r="O3" s="62">
        <f>SUM(N3-M3)</f>
        <v>5.5555555555555358E-3</v>
      </c>
      <c r="P3" s="121">
        <f>A3+174.66/1440</f>
        <v>1100.1212916666666</v>
      </c>
      <c r="Q3" s="123">
        <v>0.57222222222222219</v>
      </c>
      <c r="R3" s="123">
        <v>0.57847222222222217</v>
      </c>
      <c r="S3" s="62">
        <f>SUM(R3-Q3)</f>
        <v>6.2499999999999778E-3</v>
      </c>
      <c r="T3" s="70">
        <f>A3+160.8/1440</f>
        <v>1100.1116666666667</v>
      </c>
      <c r="U3" s="123">
        <v>0.59791666666666665</v>
      </c>
      <c r="V3" s="62">
        <v>0.60138888888888886</v>
      </c>
      <c r="W3" s="62">
        <f>SUM(V3-U3)</f>
        <v>3.4722222222222099E-3</v>
      </c>
      <c r="X3" s="129">
        <v>102.05</v>
      </c>
      <c r="Y3" s="62">
        <v>0.61597222222222225</v>
      </c>
      <c r="Z3" s="62">
        <v>0.62708333333333333</v>
      </c>
      <c r="AA3" s="62">
        <f>SUM(Z3-Y3)</f>
        <v>1.1111111111111072E-2</v>
      </c>
      <c r="AB3" s="63"/>
      <c r="AC3" s="62">
        <v>0.63055555555555554</v>
      </c>
      <c r="AD3" s="62">
        <v>0.63124999999999998</v>
      </c>
      <c r="AE3" s="62">
        <f>SUM(AD3-AC3)</f>
        <v>6.9444444444444198E-4</v>
      </c>
      <c r="AF3" s="64">
        <f>SUM(G3+K3+O3+S3+W3+AA3+AE3)</f>
        <v>3.4722222222222154E-2</v>
      </c>
      <c r="AG3" s="63">
        <f>SUM(H3+L3+P3+T3+X3-AB3)</f>
        <v>4642.4444305555553</v>
      </c>
      <c r="AH3" s="64">
        <f>AG3/85400</f>
        <v>5.4361176001821492E-2</v>
      </c>
      <c r="AI3" s="64">
        <f>SUM(AF3+AH3)</f>
        <v>8.9083398224043653E-2</v>
      </c>
      <c r="AJ3" s="126"/>
    </row>
    <row r="4" spans="1:47" s="8" customFormat="1">
      <c r="A4" s="133" t="s">
        <v>29</v>
      </c>
      <c r="B4" s="56" t="s">
        <v>189</v>
      </c>
      <c r="C4" s="55" t="s">
        <v>190</v>
      </c>
      <c r="D4" s="56" t="s">
        <v>191</v>
      </c>
      <c r="E4" s="156">
        <v>0.33333333333333331</v>
      </c>
      <c r="F4" s="156">
        <v>0.3347222222222222</v>
      </c>
      <c r="G4" s="62">
        <f>SUM(F4-E4)</f>
        <v>1.388888888888884E-3</v>
      </c>
      <c r="H4" s="158">
        <f>A4+102.46/1440</f>
        <v>800.0711527777778</v>
      </c>
      <c r="I4" s="62">
        <v>0.35833333333333334</v>
      </c>
      <c r="J4" s="62">
        <v>0.36458333333333331</v>
      </c>
      <c r="K4" s="62">
        <f>SUM(J4-I4)</f>
        <v>6.2499999999999778E-3</v>
      </c>
      <c r="L4" s="159">
        <f>A3+76.7/1440</f>
        <v>1100.053263888889</v>
      </c>
      <c r="M4" s="62">
        <v>0.37291666666666662</v>
      </c>
      <c r="N4" s="62">
        <v>0.3756944444444445</v>
      </c>
      <c r="O4" s="62">
        <f>SUM(N4-M4)</f>
        <v>2.7777777777778789E-3</v>
      </c>
      <c r="P4" s="158">
        <f>A4+90.56/1440</f>
        <v>800.06288888888889</v>
      </c>
      <c r="Q4" s="123">
        <v>0.39513888888888887</v>
      </c>
      <c r="R4" s="123">
        <v>0.39861111111111108</v>
      </c>
      <c r="S4" s="62">
        <f>SUM(R4-Q4)</f>
        <v>3.4722222222222099E-3</v>
      </c>
      <c r="T4" s="70">
        <f>A4+150.98/1440</f>
        <v>800.10484722222225</v>
      </c>
      <c r="U4" s="123">
        <v>0.41111111111111115</v>
      </c>
      <c r="V4" s="62">
        <v>0.41319444444444442</v>
      </c>
      <c r="W4" s="62">
        <f>SUM(V4-U4)</f>
        <v>2.0833333333332704E-3</v>
      </c>
      <c r="X4" s="129">
        <v>124.94</v>
      </c>
      <c r="Y4" s="62">
        <v>0.42083333333333334</v>
      </c>
      <c r="Z4" s="62">
        <v>0.42638888888888887</v>
      </c>
      <c r="AA4" s="62">
        <f>SUM(Z4-Y4)</f>
        <v>5.5555555555555358E-3</v>
      </c>
      <c r="AB4" s="63">
        <v>5</v>
      </c>
      <c r="AC4" s="62">
        <v>0.4291666666666667</v>
      </c>
      <c r="AD4" s="62">
        <v>0.4291666666666667</v>
      </c>
      <c r="AE4" s="62">
        <f>SUM(AD4-AC4)</f>
        <v>0</v>
      </c>
      <c r="AF4" s="64">
        <f>SUM(G4+K4+O4+S4+W4+AA4+AE4)</f>
        <v>2.1527777777777757E-2</v>
      </c>
      <c r="AG4" s="63">
        <f>SUM(H4+L4+P4+T4+X4-AB4)</f>
        <v>3620.2321527777781</v>
      </c>
      <c r="AH4" s="64">
        <f>AG4/85400</f>
        <v>4.239147719880302E-2</v>
      </c>
      <c r="AI4" s="64">
        <f>SUM(AF4+AH4)</f>
        <v>6.3919254976580769E-2</v>
      </c>
      <c r="AJ4" s="65" t="s">
        <v>192</v>
      </c>
    </row>
    <row r="5" spans="1:47">
      <c r="A5" s="50" t="s">
        <v>18</v>
      </c>
      <c r="B5" s="56" t="s">
        <v>193</v>
      </c>
      <c r="C5" s="55" t="s">
        <v>194</v>
      </c>
      <c r="D5" s="56" t="s">
        <v>186</v>
      </c>
      <c r="E5" s="61">
        <v>0.34166666666666662</v>
      </c>
      <c r="F5" s="61">
        <v>0.3430555555555555</v>
      </c>
      <c r="G5" s="62">
        <f>SUM(F5-E5)</f>
        <v>1.388888888888884E-3</v>
      </c>
      <c r="H5" s="123">
        <f>A5+131.15/1440</f>
        <v>740.09107638888884</v>
      </c>
      <c r="I5" s="62">
        <v>0.37083333333333335</v>
      </c>
      <c r="J5" s="62">
        <v>0.37638888888888888</v>
      </c>
      <c r="K5" s="62">
        <f>SUM(J5-I5)</f>
        <v>5.5555555555555358E-3</v>
      </c>
      <c r="L5" s="70">
        <f>A4+81.83/1440</f>
        <v>800.05682638888891</v>
      </c>
      <c r="M5" s="62">
        <v>0.38819444444444445</v>
      </c>
      <c r="N5" s="62">
        <v>0.39444444444444443</v>
      </c>
      <c r="O5" s="62">
        <f>SUM(N5-M5)</f>
        <v>6.2499999999999778E-3</v>
      </c>
      <c r="P5" s="123">
        <f>A5+196.78/1440</f>
        <v>740.13665277777773</v>
      </c>
      <c r="Q5" s="123">
        <v>0.41041666666666665</v>
      </c>
      <c r="R5" s="123">
        <v>0.41388888888888892</v>
      </c>
      <c r="S5" s="62">
        <f>SUM(R5-Q5)</f>
        <v>3.4722222222222654E-3</v>
      </c>
      <c r="T5" s="159">
        <f>A5+149.55/1440</f>
        <v>740.10385416666668</v>
      </c>
      <c r="U5" s="123">
        <v>0.42222222222222222</v>
      </c>
      <c r="V5" s="62">
        <v>0.42499999999999999</v>
      </c>
      <c r="W5" s="62">
        <f>SUM(V5-U5)</f>
        <v>2.7777777777777679E-3</v>
      </c>
      <c r="X5" s="129">
        <v>123.31</v>
      </c>
      <c r="Y5" s="62">
        <v>0.43402777777777773</v>
      </c>
      <c r="Z5" s="62">
        <v>0.44166666666666665</v>
      </c>
      <c r="AA5" s="62">
        <f>SUM(Z5-Y5)</f>
        <v>7.6388888888889173E-3</v>
      </c>
      <c r="AB5" s="63">
        <v>5</v>
      </c>
      <c r="AC5" s="62">
        <v>0.44444444444444442</v>
      </c>
      <c r="AD5" s="62">
        <v>0.44513888888888892</v>
      </c>
      <c r="AE5" s="62">
        <f>SUM(AD5-AC5)</f>
        <v>6.9444444444449749E-4</v>
      </c>
      <c r="AF5" s="64">
        <f>SUM(G5+K5+O5+S5+W5+AA5+AE5)</f>
        <v>2.7777777777777846E-2</v>
      </c>
      <c r="AG5" s="63">
        <f>SUM(H5+L5+P5+T5+X5-AB5)</f>
        <v>3138.6984097222221</v>
      </c>
      <c r="AH5" s="64">
        <f>AG5/85400</f>
        <v>3.675290877894874E-2</v>
      </c>
      <c r="AI5" s="64">
        <f>SUM(AF5+AH5)</f>
        <v>6.4530686556726585E-2</v>
      </c>
      <c r="AJ5" s="65" t="s">
        <v>195</v>
      </c>
    </row>
    <row r="6" spans="1:47" s="9" customFormat="1">
      <c r="A6" s="50" t="s">
        <v>18</v>
      </c>
      <c r="B6" s="54" t="s">
        <v>196</v>
      </c>
      <c r="C6" s="55" t="s">
        <v>197</v>
      </c>
      <c r="D6" s="56" t="s">
        <v>191</v>
      </c>
      <c r="E6" s="61">
        <v>0.32708333333333334</v>
      </c>
      <c r="F6" s="62">
        <v>0.32847222222222222</v>
      </c>
      <c r="G6" s="62">
        <f>SUM(F6-E6)</f>
        <v>1.388888888888884E-3</v>
      </c>
      <c r="H6" s="123">
        <f>A6+180/1440</f>
        <v>740.125</v>
      </c>
      <c r="I6" s="62">
        <v>0.34097222222222223</v>
      </c>
      <c r="J6" s="62">
        <v>0.3444444444444445</v>
      </c>
      <c r="K6" s="62">
        <f>SUM(J6-I6)</f>
        <v>3.4722222222222654E-3</v>
      </c>
      <c r="L6" s="70">
        <f>A5+129/1440</f>
        <v>740.08958333333328</v>
      </c>
      <c r="M6" s="62">
        <v>0.35416666666666669</v>
      </c>
      <c r="N6" s="62">
        <v>0.35833333333333334</v>
      </c>
      <c r="O6" s="62">
        <f>SUM(N6-M6)</f>
        <v>4.1666666666666519E-3</v>
      </c>
      <c r="P6" s="131">
        <v>199</v>
      </c>
      <c r="Q6" s="123">
        <v>0.37013888888888885</v>
      </c>
      <c r="R6" s="123">
        <v>0.3756944444444445</v>
      </c>
      <c r="S6" s="62">
        <f>SUM(R6-Q6)</f>
        <v>5.5555555555556468E-3</v>
      </c>
      <c r="T6" s="131">
        <v>180</v>
      </c>
      <c r="U6" s="123">
        <v>0.38541666666666669</v>
      </c>
      <c r="V6" s="62">
        <v>0.38819444444444445</v>
      </c>
      <c r="W6" s="62">
        <f>SUM(V6-U6)</f>
        <v>2.7777777777777679E-3</v>
      </c>
      <c r="X6" s="129">
        <v>160.15</v>
      </c>
      <c r="Y6" s="62">
        <v>0.39861111111111108</v>
      </c>
      <c r="Z6" s="62">
        <v>0.40486111111111112</v>
      </c>
      <c r="AA6" s="62">
        <f>SUM(Z6-Y6)</f>
        <v>6.2500000000000333E-3</v>
      </c>
      <c r="AB6" s="63"/>
      <c r="AC6" s="62">
        <v>0.40972222222222227</v>
      </c>
      <c r="AD6" s="62">
        <v>0.41041666666666665</v>
      </c>
      <c r="AE6" s="62">
        <f>SUM(AD6-AC6)</f>
        <v>6.9444444444438647E-4</v>
      </c>
      <c r="AF6" s="64">
        <f>SUM(G6+K6+O6+S6+W6+AA6+AE6)</f>
        <v>2.4305555555555636E-2</v>
      </c>
      <c r="AG6" s="63">
        <f>SUM(H6+L6+P6+T6+X6-AB6)</f>
        <v>2019.3645833333335</v>
      </c>
      <c r="AH6" s="64">
        <f>AG6/85400</f>
        <v>2.364595530835285E-2</v>
      </c>
      <c r="AI6" s="64">
        <f>SUM(AF6+AH6)</f>
        <v>4.7951510863908489E-2</v>
      </c>
      <c r="AJ6" s="65" t="s">
        <v>198</v>
      </c>
    </row>
    <row r="7" spans="1:47" s="36" customFormat="1">
      <c r="A7" s="20"/>
      <c r="B7" s="137"/>
      <c r="C7" s="57"/>
      <c r="D7" s="154"/>
      <c r="E7" s="70"/>
      <c r="F7" s="70"/>
      <c r="G7" s="70"/>
      <c r="H7" s="123"/>
      <c r="I7" s="70"/>
      <c r="J7" s="70"/>
      <c r="K7" s="70"/>
      <c r="L7" s="131"/>
      <c r="M7" s="70"/>
      <c r="N7" s="70"/>
      <c r="O7" s="70"/>
      <c r="P7" s="121"/>
      <c r="Q7" s="121"/>
      <c r="R7" s="121"/>
      <c r="S7" s="70"/>
      <c r="T7" s="131"/>
      <c r="U7" s="121"/>
      <c r="V7" s="70"/>
      <c r="W7" s="70"/>
      <c r="X7" s="129"/>
      <c r="Y7" s="70"/>
      <c r="Z7" s="70"/>
      <c r="AA7" s="70"/>
      <c r="AB7" s="63"/>
      <c r="AC7" s="70"/>
      <c r="AD7" s="70"/>
      <c r="AE7" s="70"/>
      <c r="AF7" s="72"/>
      <c r="AG7" s="71"/>
      <c r="AH7" s="72"/>
      <c r="AI7" s="72"/>
      <c r="AJ7" s="73"/>
    </row>
    <row r="8" spans="1:47" s="2" customFormat="1">
      <c r="A8" s="20"/>
      <c r="B8" s="42"/>
      <c r="C8" s="58"/>
      <c r="D8" s="43"/>
      <c r="E8" s="70"/>
      <c r="F8" s="70"/>
      <c r="G8" s="70"/>
      <c r="H8" s="123"/>
      <c r="I8" s="70"/>
      <c r="J8" s="70"/>
      <c r="K8" s="70"/>
      <c r="L8" s="70"/>
      <c r="M8" s="70"/>
      <c r="N8" s="70"/>
      <c r="O8" s="70"/>
      <c r="P8" s="121"/>
      <c r="Q8" s="121"/>
      <c r="R8" s="121"/>
      <c r="S8" s="70"/>
      <c r="T8" s="70"/>
      <c r="U8" s="121"/>
      <c r="V8" s="70"/>
      <c r="W8" s="70"/>
      <c r="X8" s="129"/>
      <c r="Y8" s="70"/>
      <c r="Z8" s="70"/>
      <c r="AA8" s="70"/>
      <c r="AB8" s="63"/>
      <c r="AC8" s="70"/>
      <c r="AD8" s="70"/>
      <c r="AE8" s="70"/>
      <c r="AF8" s="72"/>
      <c r="AG8" s="71"/>
      <c r="AH8" s="72"/>
      <c r="AI8" s="72"/>
      <c r="AJ8" s="73"/>
    </row>
    <row r="9" spans="1:47" s="9" customFormat="1">
      <c r="A9" s="20"/>
      <c r="B9" s="42"/>
      <c r="C9" s="58"/>
      <c r="D9" s="43"/>
      <c r="E9" s="70"/>
      <c r="F9" s="70"/>
      <c r="G9" s="70"/>
      <c r="H9" s="123"/>
      <c r="I9" s="70"/>
      <c r="J9" s="70"/>
      <c r="K9" s="70"/>
      <c r="L9" s="70"/>
      <c r="M9" s="70"/>
      <c r="N9" s="70"/>
      <c r="O9" s="70"/>
      <c r="P9" s="129"/>
      <c r="Q9" s="121"/>
      <c r="R9" s="121"/>
      <c r="S9" s="70"/>
      <c r="T9" s="131"/>
      <c r="U9" s="121"/>
      <c r="V9" s="70"/>
      <c r="W9" s="70"/>
      <c r="X9" s="129"/>
      <c r="Y9" s="70"/>
      <c r="Z9" s="70"/>
      <c r="AA9" s="70"/>
      <c r="AB9" s="63"/>
      <c r="AC9" s="70"/>
      <c r="AD9" s="70"/>
      <c r="AE9" s="70"/>
      <c r="AF9" s="72"/>
      <c r="AG9" s="71"/>
      <c r="AH9" s="72"/>
      <c r="AI9" s="72"/>
      <c r="AJ9" s="73"/>
    </row>
    <row r="10" spans="1:47">
      <c r="A10" s="20"/>
      <c r="B10" s="42"/>
      <c r="C10" s="58"/>
      <c r="D10" s="49"/>
      <c r="E10" s="121"/>
      <c r="F10" s="121"/>
      <c r="G10" s="70"/>
      <c r="H10" s="123"/>
      <c r="I10" s="70"/>
      <c r="J10" s="70"/>
      <c r="K10" s="70"/>
      <c r="L10" s="70"/>
      <c r="M10" s="70"/>
      <c r="N10" s="70"/>
      <c r="O10" s="70"/>
      <c r="P10" s="131"/>
      <c r="Q10" s="121"/>
      <c r="R10" s="121"/>
      <c r="S10" s="70"/>
      <c r="T10" s="131"/>
      <c r="U10" s="121"/>
      <c r="V10" s="70"/>
      <c r="W10" s="70"/>
      <c r="X10" s="129"/>
      <c r="Y10" s="70"/>
      <c r="Z10" s="70"/>
      <c r="AA10" s="70"/>
      <c r="AB10" s="63"/>
      <c r="AC10" s="70"/>
      <c r="AD10" s="70"/>
      <c r="AE10" s="70"/>
      <c r="AF10" s="72"/>
      <c r="AG10" s="71"/>
      <c r="AH10" s="72"/>
      <c r="AI10" s="72"/>
      <c r="AJ10" s="73"/>
    </row>
    <row r="11" spans="1:47" s="8" customFormat="1">
      <c r="A11" s="48"/>
      <c r="B11" s="42"/>
      <c r="C11" s="58"/>
      <c r="D11" s="49"/>
      <c r="E11" s="121"/>
      <c r="F11" s="121"/>
      <c r="G11" s="70"/>
      <c r="H11" s="121"/>
      <c r="I11" s="70"/>
      <c r="J11" s="70"/>
      <c r="K11" s="70"/>
      <c r="L11" s="70"/>
      <c r="M11" s="70"/>
      <c r="N11" s="70"/>
      <c r="O11" s="70"/>
      <c r="P11" s="121"/>
      <c r="Q11" s="121"/>
      <c r="R11" s="121"/>
      <c r="S11" s="70"/>
      <c r="T11" s="131"/>
      <c r="U11" s="121"/>
      <c r="V11" s="70"/>
      <c r="W11" s="70"/>
      <c r="X11" s="129"/>
      <c r="Y11" s="70"/>
      <c r="Z11" s="70"/>
      <c r="AA11" s="70"/>
      <c r="AB11" s="63"/>
      <c r="AC11" s="70"/>
      <c r="AD11" s="70"/>
      <c r="AE11" s="70"/>
      <c r="AF11" s="72"/>
      <c r="AG11" s="71"/>
      <c r="AH11" s="72"/>
      <c r="AI11" s="72"/>
      <c r="AJ11" s="73"/>
    </row>
    <row r="12" spans="1:47">
      <c r="A12" s="48"/>
      <c r="B12" s="42"/>
      <c r="C12" s="57"/>
      <c r="D12" s="43"/>
      <c r="E12" s="121"/>
      <c r="F12" s="121"/>
      <c r="G12" s="70"/>
      <c r="H12" s="121"/>
      <c r="I12" s="70"/>
      <c r="J12" s="70"/>
      <c r="K12" s="70"/>
      <c r="L12" s="70"/>
      <c r="M12" s="70"/>
      <c r="N12" s="70"/>
      <c r="O12" s="70"/>
      <c r="P12" s="131"/>
      <c r="Q12" s="121"/>
      <c r="R12" s="121"/>
      <c r="S12" s="70"/>
      <c r="T12" s="70"/>
      <c r="U12" s="121"/>
      <c r="V12" s="70"/>
      <c r="W12" s="70"/>
      <c r="X12" s="129"/>
      <c r="Y12" s="70"/>
      <c r="Z12" s="70"/>
      <c r="AA12" s="70"/>
      <c r="AB12" s="63"/>
      <c r="AC12" s="70"/>
      <c r="AD12" s="70"/>
      <c r="AE12" s="70"/>
      <c r="AF12" s="72"/>
      <c r="AG12" s="71"/>
      <c r="AH12" s="72"/>
      <c r="AI12" s="72"/>
      <c r="AJ12" s="73"/>
    </row>
    <row r="13" spans="1:47" s="8" customFormat="1">
      <c r="A13" s="48"/>
      <c r="B13" s="42"/>
      <c r="C13" s="58"/>
      <c r="D13" s="49"/>
      <c r="E13" s="121"/>
      <c r="F13" s="121"/>
      <c r="G13" s="70"/>
      <c r="H13" s="121"/>
      <c r="I13" s="70"/>
      <c r="J13" s="70"/>
      <c r="K13" s="70"/>
      <c r="L13" s="70"/>
      <c r="M13" s="70"/>
      <c r="N13" s="70"/>
      <c r="O13" s="70"/>
      <c r="P13" s="131"/>
      <c r="Q13" s="121"/>
      <c r="R13" s="121"/>
      <c r="S13" s="70"/>
      <c r="T13" s="131"/>
      <c r="U13" s="121"/>
      <c r="V13" s="70"/>
      <c r="W13" s="70"/>
      <c r="X13" s="131"/>
      <c r="Y13" s="70"/>
      <c r="Z13" s="70"/>
      <c r="AA13" s="70"/>
      <c r="AB13" s="63"/>
      <c r="AC13" s="70"/>
      <c r="AD13" s="70"/>
      <c r="AE13" s="70"/>
      <c r="AF13" s="72"/>
      <c r="AG13" s="71"/>
      <c r="AH13" s="72"/>
      <c r="AI13" s="72"/>
      <c r="AJ13" s="74"/>
    </row>
    <row r="14" spans="1:47">
      <c r="A14" s="22"/>
      <c r="B14" s="42"/>
      <c r="C14" s="58"/>
      <c r="D14" s="49"/>
      <c r="E14" s="121"/>
      <c r="F14" s="121"/>
      <c r="G14" s="70"/>
      <c r="H14" s="121"/>
      <c r="I14" s="70"/>
      <c r="J14" s="70"/>
      <c r="K14" s="70"/>
      <c r="L14" s="70"/>
      <c r="M14" s="70"/>
      <c r="N14" s="70"/>
      <c r="O14" s="70"/>
      <c r="P14" s="121"/>
      <c r="Q14" s="121"/>
      <c r="R14" s="121"/>
      <c r="S14" s="70"/>
      <c r="T14" s="70"/>
      <c r="U14" s="121"/>
      <c r="V14" s="70"/>
      <c r="W14" s="70"/>
      <c r="X14" s="129"/>
      <c r="Y14" s="70"/>
      <c r="Z14" s="70"/>
      <c r="AA14" s="70"/>
      <c r="AB14" s="63"/>
      <c r="AC14" s="70"/>
      <c r="AD14" s="70"/>
      <c r="AE14" s="70"/>
      <c r="AF14" s="72"/>
      <c r="AG14" s="71"/>
      <c r="AH14" s="72"/>
      <c r="AI14" s="72"/>
      <c r="AJ14" s="74"/>
    </row>
    <row r="15" spans="1:47" s="8" customFormat="1">
      <c r="A15" s="22"/>
      <c r="B15" s="42"/>
      <c r="C15" s="58"/>
      <c r="D15" s="49"/>
      <c r="E15" s="121"/>
      <c r="F15" s="121"/>
      <c r="G15" s="70"/>
      <c r="H15" s="121"/>
      <c r="I15" s="70"/>
      <c r="J15" s="70"/>
      <c r="K15" s="70"/>
      <c r="L15" s="70"/>
      <c r="M15" s="70"/>
      <c r="N15" s="70"/>
      <c r="O15" s="70"/>
      <c r="P15" s="131"/>
      <c r="Q15" s="121"/>
      <c r="R15" s="121"/>
      <c r="S15" s="70"/>
      <c r="T15" s="131"/>
      <c r="U15" s="121"/>
      <c r="V15" s="70"/>
      <c r="W15" s="70"/>
      <c r="X15" s="129"/>
      <c r="Y15" s="70"/>
      <c r="Z15" s="70"/>
      <c r="AA15" s="70"/>
      <c r="AB15" s="63"/>
      <c r="AC15" s="70"/>
      <c r="AD15" s="70"/>
      <c r="AE15" s="70"/>
      <c r="AF15" s="72"/>
      <c r="AG15" s="71"/>
      <c r="AH15" s="72"/>
      <c r="AI15" s="72"/>
      <c r="AJ15" s="74"/>
    </row>
    <row r="16" spans="1:47">
      <c r="A16" s="23"/>
      <c r="B16" s="42"/>
      <c r="C16" s="58"/>
      <c r="D16" s="153"/>
      <c r="E16" s="121"/>
      <c r="F16" s="121"/>
      <c r="G16" s="70"/>
      <c r="H16" s="121"/>
      <c r="I16" s="70"/>
      <c r="J16" s="70"/>
      <c r="K16" s="70"/>
      <c r="L16" s="70"/>
      <c r="M16" s="70"/>
      <c r="N16" s="70"/>
      <c r="O16" s="70"/>
      <c r="P16" s="121"/>
      <c r="Q16" s="121"/>
      <c r="R16" s="121"/>
      <c r="S16" s="70"/>
      <c r="T16" s="131"/>
      <c r="U16" s="121"/>
      <c r="V16" s="70"/>
      <c r="W16" s="70"/>
      <c r="X16" s="129"/>
      <c r="Y16" s="70"/>
      <c r="Z16" s="70"/>
      <c r="AA16" s="70"/>
      <c r="AB16" s="63"/>
      <c r="AC16" s="70"/>
      <c r="AD16" s="70"/>
      <c r="AE16" s="70"/>
      <c r="AF16" s="72"/>
      <c r="AG16" s="71"/>
      <c r="AH16" s="72"/>
      <c r="AI16" s="72"/>
      <c r="AJ16" s="74"/>
    </row>
    <row r="17" spans="1:40" s="8" customFormat="1" ht="20.55" customHeight="1">
      <c r="A17" s="23"/>
      <c r="B17" s="42"/>
      <c r="C17" s="57"/>
      <c r="D17" s="79"/>
      <c r="E17" s="121"/>
      <c r="F17" s="121"/>
      <c r="G17" s="70"/>
      <c r="H17" s="121"/>
      <c r="I17" s="70"/>
      <c r="J17" s="70"/>
      <c r="K17" s="70"/>
      <c r="L17" s="70"/>
      <c r="M17" s="70"/>
      <c r="N17" s="70"/>
      <c r="O17" s="70"/>
      <c r="P17" s="131"/>
      <c r="Q17" s="121"/>
      <c r="R17" s="121"/>
      <c r="S17" s="70"/>
      <c r="T17" s="131"/>
      <c r="U17" s="121"/>
      <c r="V17" s="70"/>
      <c r="W17" s="70"/>
      <c r="X17" s="129"/>
      <c r="Y17" s="70"/>
      <c r="Z17" s="70"/>
      <c r="AA17" s="70"/>
      <c r="AB17" s="63"/>
      <c r="AC17" s="70"/>
      <c r="AD17" s="70"/>
      <c r="AE17" s="70"/>
      <c r="AF17" s="72"/>
      <c r="AG17" s="71"/>
      <c r="AH17" s="72"/>
      <c r="AI17" s="72"/>
      <c r="AJ17" s="74"/>
    </row>
    <row r="18" spans="1:40" ht="20.55" customHeight="1">
      <c r="A18" s="22"/>
      <c r="B18" s="42"/>
      <c r="C18" s="58"/>
      <c r="D18" s="81"/>
      <c r="E18" s="121"/>
      <c r="F18" s="121"/>
      <c r="G18" s="70"/>
      <c r="H18" s="121"/>
      <c r="I18" s="70"/>
      <c r="J18" s="70"/>
      <c r="K18" s="70"/>
      <c r="L18" s="70"/>
      <c r="M18" s="70"/>
      <c r="N18" s="70"/>
      <c r="O18" s="70"/>
      <c r="P18" s="121"/>
      <c r="Q18" s="121"/>
      <c r="R18" s="121"/>
      <c r="S18" s="70"/>
      <c r="T18" s="70"/>
      <c r="U18" s="121"/>
      <c r="V18" s="70"/>
      <c r="W18" s="70"/>
      <c r="X18" s="129"/>
      <c r="Y18" s="70"/>
      <c r="Z18" s="70"/>
      <c r="AA18" s="70"/>
      <c r="AB18" s="63"/>
      <c r="AC18" s="70"/>
      <c r="AD18" s="70"/>
      <c r="AE18" s="70"/>
      <c r="AF18" s="72"/>
      <c r="AG18" s="71"/>
      <c r="AH18" s="72"/>
      <c r="AI18" s="72"/>
      <c r="AJ18" s="74"/>
    </row>
    <row r="19" spans="1:40" s="8" customFormat="1">
      <c r="A19" s="22"/>
      <c r="B19" s="42"/>
      <c r="C19" s="58"/>
      <c r="D19" s="81"/>
      <c r="E19" s="121"/>
      <c r="F19" s="121"/>
      <c r="G19" s="70"/>
      <c r="H19" s="121"/>
      <c r="I19" s="70"/>
      <c r="J19" s="70"/>
      <c r="K19" s="70"/>
      <c r="L19" s="70"/>
      <c r="M19" s="70"/>
      <c r="N19" s="70"/>
      <c r="O19" s="70"/>
      <c r="P19" s="131"/>
      <c r="Q19" s="121"/>
      <c r="R19" s="121"/>
      <c r="S19" s="70"/>
      <c r="T19" s="131"/>
      <c r="U19" s="121"/>
      <c r="V19" s="70"/>
      <c r="W19" s="70"/>
      <c r="X19" s="129"/>
      <c r="Y19" s="70"/>
      <c r="Z19" s="70"/>
      <c r="AA19" s="70"/>
      <c r="AB19" s="63"/>
      <c r="AC19" s="70"/>
      <c r="AD19" s="70"/>
      <c r="AE19" s="70"/>
      <c r="AF19" s="72"/>
      <c r="AG19" s="71"/>
      <c r="AH19" s="72"/>
      <c r="AI19" s="72"/>
      <c r="AJ19" s="74"/>
    </row>
    <row r="20" spans="1:40" ht="20.55" customHeight="1">
      <c r="A20" s="22"/>
      <c r="B20" s="42"/>
      <c r="C20" s="58"/>
      <c r="D20" s="81"/>
      <c r="E20" s="121"/>
      <c r="F20" s="121"/>
      <c r="G20" s="70"/>
      <c r="H20" s="121"/>
      <c r="I20" s="70"/>
      <c r="J20" s="70"/>
      <c r="K20" s="70"/>
      <c r="L20" s="70"/>
      <c r="M20" s="70"/>
      <c r="N20" s="70"/>
      <c r="O20" s="70"/>
      <c r="P20" s="121"/>
      <c r="Q20" s="121"/>
      <c r="R20" s="121"/>
      <c r="S20" s="70"/>
      <c r="T20" s="70"/>
      <c r="U20" s="121"/>
      <c r="V20" s="70"/>
      <c r="W20" s="70"/>
      <c r="X20" s="129"/>
      <c r="Y20" s="70"/>
      <c r="Z20" s="70"/>
      <c r="AA20" s="70"/>
      <c r="AB20" s="63"/>
      <c r="AC20" s="70"/>
      <c r="AD20" s="70"/>
      <c r="AE20" s="70"/>
      <c r="AF20" s="72"/>
      <c r="AG20" s="71"/>
      <c r="AH20" s="72"/>
      <c r="AI20" s="72"/>
      <c r="AJ20" s="74"/>
    </row>
    <row r="21" spans="1:40" s="8" customFormat="1" ht="20.55" customHeight="1">
      <c r="A21" s="21"/>
      <c r="B21" s="42"/>
      <c r="C21" s="82"/>
      <c r="D21" s="85"/>
      <c r="E21" s="121"/>
      <c r="F21" s="121"/>
      <c r="G21" s="70"/>
      <c r="H21" s="121"/>
      <c r="I21" s="70"/>
      <c r="J21" s="70"/>
      <c r="K21" s="70"/>
      <c r="L21" s="70"/>
      <c r="M21" s="70"/>
      <c r="N21" s="70"/>
      <c r="O21" s="70"/>
      <c r="P21" s="121"/>
      <c r="Q21" s="121"/>
      <c r="R21" s="121"/>
      <c r="S21" s="70"/>
      <c r="T21" s="70"/>
      <c r="U21" s="121"/>
      <c r="V21" s="70"/>
      <c r="W21" s="70"/>
      <c r="X21" s="129"/>
      <c r="Y21" s="70"/>
      <c r="Z21" s="70"/>
      <c r="AA21" s="70"/>
      <c r="AB21" s="63"/>
      <c r="AC21" s="70"/>
      <c r="AD21" s="70"/>
      <c r="AE21" s="70"/>
      <c r="AF21" s="72"/>
      <c r="AG21" s="71"/>
      <c r="AH21" s="72"/>
      <c r="AI21" s="72"/>
      <c r="AJ21" s="74"/>
    </row>
    <row r="22" spans="1:40" ht="20.55" customHeight="1">
      <c r="A22" s="21"/>
      <c r="B22" s="42"/>
      <c r="C22" s="83"/>
      <c r="D22" s="86"/>
      <c r="E22" s="121"/>
      <c r="F22" s="121"/>
      <c r="G22" s="70"/>
      <c r="H22" s="121"/>
      <c r="I22" s="70"/>
      <c r="J22" s="70"/>
      <c r="K22" s="70"/>
      <c r="L22" s="70"/>
      <c r="M22" s="70"/>
      <c r="N22" s="70"/>
      <c r="O22" s="70"/>
      <c r="P22" s="121"/>
      <c r="Q22" s="121"/>
      <c r="R22" s="121"/>
      <c r="S22" s="70"/>
      <c r="T22" s="70"/>
      <c r="U22" s="121"/>
      <c r="V22" s="70"/>
      <c r="W22" s="70"/>
      <c r="X22" s="129"/>
      <c r="Y22" s="70"/>
      <c r="Z22" s="70"/>
      <c r="AA22" s="70"/>
      <c r="AB22" s="63"/>
      <c r="AC22" s="70"/>
      <c r="AD22" s="70"/>
      <c r="AE22" s="70"/>
      <c r="AF22" s="72"/>
      <c r="AG22" s="71"/>
      <c r="AH22" s="72"/>
      <c r="AI22" s="72"/>
      <c r="AJ22" s="74"/>
    </row>
    <row r="23" spans="1:40" s="8" customFormat="1" ht="20.55" customHeight="1">
      <c r="A23" s="21"/>
      <c r="B23" s="42"/>
      <c r="C23" s="82"/>
      <c r="D23" s="85"/>
      <c r="E23" s="121"/>
      <c r="F23" s="121"/>
      <c r="G23" s="70"/>
      <c r="H23" s="121"/>
      <c r="I23" s="70"/>
      <c r="J23" s="70"/>
      <c r="K23" s="70"/>
      <c r="L23" s="70"/>
      <c r="M23" s="70"/>
      <c r="N23" s="70"/>
      <c r="O23" s="70"/>
      <c r="P23" s="121"/>
      <c r="Q23" s="121"/>
      <c r="R23" s="121"/>
      <c r="S23" s="70"/>
      <c r="T23" s="131"/>
      <c r="U23" s="121"/>
      <c r="V23" s="70"/>
      <c r="W23" s="70"/>
      <c r="X23" s="129"/>
      <c r="Y23" s="70"/>
      <c r="Z23" s="70"/>
      <c r="AA23" s="70"/>
      <c r="AB23" s="63"/>
      <c r="AC23" s="70"/>
      <c r="AD23" s="70"/>
      <c r="AE23" s="70"/>
      <c r="AF23" s="72"/>
      <c r="AG23" s="71"/>
      <c r="AH23" s="72"/>
      <c r="AI23" s="72"/>
      <c r="AJ23" s="74"/>
    </row>
    <row r="24" spans="1:40" ht="20.55" customHeight="1">
      <c r="A24" s="20"/>
      <c r="B24" s="42"/>
      <c r="C24" s="82"/>
      <c r="D24" s="85"/>
      <c r="E24" s="121"/>
      <c r="F24" s="121"/>
      <c r="G24" s="70"/>
      <c r="H24" s="121"/>
      <c r="I24" s="70"/>
      <c r="J24" s="70"/>
      <c r="K24" s="70"/>
      <c r="L24" s="70"/>
      <c r="M24" s="70"/>
      <c r="N24" s="70"/>
      <c r="O24" s="70"/>
      <c r="P24" s="121"/>
      <c r="Q24" s="121"/>
      <c r="R24" s="121"/>
      <c r="S24" s="70"/>
      <c r="T24" s="70"/>
      <c r="U24" s="121"/>
      <c r="V24" s="70"/>
      <c r="W24" s="70"/>
      <c r="X24" s="129"/>
      <c r="Y24" s="70"/>
      <c r="Z24" s="70"/>
      <c r="AA24" s="70"/>
      <c r="AB24" s="63"/>
      <c r="AC24" s="70"/>
      <c r="AD24" s="70"/>
      <c r="AE24" s="70"/>
      <c r="AF24" s="72"/>
      <c r="AG24" s="71"/>
      <c r="AH24" s="72"/>
      <c r="AI24" s="72"/>
      <c r="AJ24" s="43"/>
    </row>
    <row r="25" spans="1:40" s="8" customFormat="1" ht="20.55" customHeight="1">
      <c r="A25" s="20"/>
      <c r="B25" s="42"/>
      <c r="C25" s="82"/>
      <c r="D25" s="85"/>
      <c r="E25" s="121"/>
      <c r="F25" s="121"/>
      <c r="G25" s="70"/>
      <c r="H25" s="121"/>
      <c r="I25" s="70"/>
      <c r="J25" s="70"/>
      <c r="K25" s="70"/>
      <c r="L25" s="131"/>
      <c r="M25" s="70"/>
      <c r="N25" s="70"/>
      <c r="O25" s="70"/>
      <c r="P25" s="131"/>
      <c r="Q25" s="121"/>
      <c r="R25" s="121"/>
      <c r="S25" s="70"/>
      <c r="T25" s="131"/>
      <c r="U25" s="121"/>
      <c r="V25" s="70"/>
      <c r="W25" s="70"/>
      <c r="X25" s="129"/>
      <c r="Y25" s="70"/>
      <c r="Z25" s="70"/>
      <c r="AA25" s="70"/>
      <c r="AB25" s="63"/>
      <c r="AC25" s="70"/>
      <c r="AD25" s="70"/>
      <c r="AE25" s="70"/>
      <c r="AF25" s="72"/>
      <c r="AG25" s="71"/>
      <c r="AH25" s="72"/>
      <c r="AI25" s="72"/>
      <c r="AJ25" s="74"/>
    </row>
    <row r="26" spans="1:40" ht="20.55" customHeight="1">
      <c r="A26" s="20"/>
      <c r="B26" s="42"/>
      <c r="C26" s="82"/>
      <c r="D26" s="85"/>
      <c r="E26" s="121"/>
      <c r="F26" s="121"/>
      <c r="G26" s="70"/>
      <c r="H26" s="121"/>
      <c r="I26" s="70"/>
      <c r="J26" s="70"/>
      <c r="K26" s="70"/>
      <c r="L26" s="70"/>
      <c r="M26" s="70"/>
      <c r="N26" s="70"/>
      <c r="O26" s="70"/>
      <c r="P26" s="121"/>
      <c r="Q26" s="121"/>
      <c r="R26" s="121"/>
      <c r="S26" s="70"/>
      <c r="T26" s="70"/>
      <c r="U26" s="121"/>
      <c r="V26" s="70"/>
      <c r="W26" s="70"/>
      <c r="X26" s="129"/>
      <c r="Y26" s="70"/>
      <c r="Z26" s="70"/>
      <c r="AA26" s="70"/>
      <c r="AB26" s="63"/>
      <c r="AC26" s="70"/>
      <c r="AD26" s="70"/>
      <c r="AE26" s="70"/>
      <c r="AF26" s="72"/>
      <c r="AG26" s="71"/>
      <c r="AH26" s="72"/>
      <c r="AI26" s="72"/>
      <c r="AJ26" s="74"/>
    </row>
    <row r="27" spans="1:40" s="8" customFormat="1" ht="20.55" customHeight="1">
      <c r="A27" s="21"/>
      <c r="B27" s="42"/>
      <c r="C27" s="83"/>
      <c r="D27" s="86"/>
      <c r="E27" s="121"/>
      <c r="F27" s="121"/>
      <c r="G27" s="70"/>
      <c r="H27" s="121"/>
      <c r="I27" s="70"/>
      <c r="J27" s="70"/>
      <c r="K27" s="70"/>
      <c r="L27" s="70"/>
      <c r="M27" s="70"/>
      <c r="N27" s="70"/>
      <c r="O27" s="70"/>
      <c r="P27" s="131"/>
      <c r="Q27" s="121"/>
      <c r="R27" s="121"/>
      <c r="S27" s="70"/>
      <c r="T27" s="131"/>
      <c r="U27" s="121"/>
      <c r="V27" s="70"/>
      <c r="W27" s="70"/>
      <c r="X27" s="129"/>
      <c r="Y27" s="70"/>
      <c r="Z27" s="70"/>
      <c r="AA27" s="70"/>
      <c r="AB27" s="63"/>
      <c r="AC27" s="70"/>
      <c r="AD27" s="70"/>
      <c r="AE27" s="70"/>
      <c r="AF27" s="72"/>
      <c r="AG27" s="71"/>
      <c r="AH27" s="72"/>
      <c r="AI27" s="72"/>
      <c r="AJ27" s="74"/>
      <c r="AK27" s="127"/>
      <c r="AL27" s="127"/>
      <c r="AM27" s="127"/>
      <c r="AN27" s="127"/>
    </row>
    <row r="28" spans="1:40" ht="20.55" customHeight="1">
      <c r="A28" s="21"/>
      <c r="B28" s="42"/>
      <c r="C28" s="82"/>
      <c r="D28" s="85"/>
      <c r="E28" s="121"/>
      <c r="F28" s="121"/>
      <c r="G28" s="70"/>
      <c r="H28" s="121"/>
      <c r="I28" s="70"/>
      <c r="J28" s="70"/>
      <c r="K28" s="70"/>
      <c r="L28" s="70"/>
      <c r="M28" s="70"/>
      <c r="N28" s="70"/>
      <c r="O28" s="70"/>
      <c r="P28" s="131"/>
      <c r="Q28" s="121"/>
      <c r="R28" s="121"/>
      <c r="S28" s="70"/>
      <c r="T28" s="131"/>
      <c r="U28" s="121"/>
      <c r="V28" s="70"/>
      <c r="W28" s="70"/>
      <c r="X28" s="129"/>
      <c r="Y28" s="70"/>
      <c r="Z28" s="70"/>
      <c r="AA28" s="70"/>
      <c r="AB28" s="63"/>
      <c r="AC28" s="70"/>
      <c r="AD28" s="70"/>
      <c r="AE28" s="70"/>
      <c r="AF28" s="72"/>
      <c r="AG28" s="71"/>
      <c r="AH28" s="72"/>
      <c r="AI28" s="72"/>
      <c r="AJ28" s="74"/>
    </row>
    <row r="29" spans="1:40" s="8" customFormat="1" ht="20.55" customHeight="1">
      <c r="A29" s="21"/>
      <c r="B29" s="42"/>
      <c r="C29" s="82"/>
      <c r="D29" s="85"/>
      <c r="E29" s="121"/>
      <c r="F29" s="121"/>
      <c r="G29" s="70"/>
      <c r="H29" s="121"/>
      <c r="I29" s="70"/>
      <c r="J29" s="70"/>
      <c r="K29" s="70"/>
      <c r="L29" s="70"/>
      <c r="M29" s="70"/>
      <c r="N29" s="70"/>
      <c r="O29" s="70"/>
      <c r="P29" s="131"/>
      <c r="Q29" s="121"/>
      <c r="R29" s="121"/>
      <c r="S29" s="70"/>
      <c r="T29" s="131"/>
      <c r="U29" s="121"/>
      <c r="V29" s="70"/>
      <c r="W29" s="70"/>
      <c r="X29" s="129"/>
      <c r="Y29" s="70"/>
      <c r="Z29" s="70"/>
      <c r="AA29" s="70"/>
      <c r="AB29" s="63"/>
      <c r="AC29" s="70"/>
      <c r="AD29" s="70"/>
      <c r="AE29" s="70"/>
      <c r="AF29" s="72"/>
      <c r="AG29" s="71"/>
      <c r="AH29" s="72"/>
      <c r="AI29" s="72"/>
      <c r="AJ29" s="74"/>
    </row>
    <row r="30" spans="1:40" ht="20.55" customHeight="1">
      <c r="A30" s="21"/>
      <c r="B30" s="42"/>
      <c r="C30" s="82"/>
      <c r="D30" s="85"/>
      <c r="E30" s="121"/>
      <c r="F30" s="121"/>
      <c r="G30" s="70"/>
      <c r="H30" s="121"/>
      <c r="I30" s="70"/>
      <c r="J30" s="70"/>
      <c r="K30" s="70"/>
      <c r="L30" s="70"/>
      <c r="M30" s="70"/>
      <c r="N30" s="70"/>
      <c r="O30" s="70"/>
      <c r="P30" s="121"/>
      <c r="Q30" s="121"/>
      <c r="R30" s="121"/>
      <c r="S30" s="70"/>
      <c r="T30" s="131"/>
      <c r="U30" s="121"/>
      <c r="V30" s="70"/>
      <c r="W30" s="70"/>
      <c r="X30" s="129"/>
      <c r="Y30" s="70"/>
      <c r="Z30" s="70"/>
      <c r="AA30" s="70"/>
      <c r="AB30" s="63"/>
      <c r="AC30" s="70"/>
      <c r="AD30" s="70"/>
      <c r="AE30" s="70"/>
      <c r="AF30" s="72"/>
      <c r="AG30" s="71"/>
      <c r="AH30" s="72"/>
      <c r="AI30" s="72"/>
      <c r="AJ30" s="74"/>
    </row>
    <row r="31" spans="1:40">
      <c r="A31" s="21"/>
      <c r="B31" s="42"/>
      <c r="C31" s="82"/>
      <c r="D31" s="85"/>
      <c r="E31" s="121"/>
      <c r="F31" s="121"/>
      <c r="G31" s="70"/>
      <c r="H31" s="121"/>
      <c r="I31" s="70"/>
      <c r="J31" s="70"/>
      <c r="K31" s="70"/>
      <c r="L31" s="70"/>
      <c r="M31" s="70"/>
      <c r="N31" s="70"/>
      <c r="O31" s="70"/>
      <c r="P31" s="131"/>
      <c r="Q31" s="121"/>
      <c r="R31" s="121"/>
      <c r="S31" s="70"/>
      <c r="T31" s="131"/>
      <c r="U31" s="121"/>
      <c r="V31" s="70"/>
      <c r="W31" s="70"/>
      <c r="X31" s="129"/>
      <c r="Y31" s="70"/>
      <c r="Z31" s="70"/>
      <c r="AA31" s="70"/>
      <c r="AB31" s="63"/>
      <c r="AC31" s="70"/>
      <c r="AD31" s="70"/>
      <c r="AE31" s="70"/>
      <c r="AF31" s="72"/>
      <c r="AG31" s="71"/>
      <c r="AH31" s="72"/>
      <c r="AI31" s="72"/>
      <c r="AJ31" s="74"/>
    </row>
    <row r="32" spans="1:40" s="9" customFormat="1" ht="19.2" customHeight="1">
      <c r="A32" s="22"/>
      <c r="B32" s="42"/>
      <c r="C32" s="83"/>
      <c r="D32" s="86"/>
      <c r="E32" s="121"/>
      <c r="F32" s="121"/>
      <c r="G32" s="70"/>
      <c r="H32" s="121"/>
      <c r="I32" s="70"/>
      <c r="J32" s="70"/>
      <c r="K32" s="70"/>
      <c r="L32" s="70"/>
      <c r="M32" s="70"/>
      <c r="N32" s="70"/>
      <c r="O32" s="70"/>
      <c r="P32" s="121"/>
      <c r="Q32" s="121"/>
      <c r="R32" s="121"/>
      <c r="S32" s="70"/>
      <c r="T32" s="70"/>
      <c r="U32" s="121"/>
      <c r="V32" s="70"/>
      <c r="W32" s="70"/>
      <c r="X32" s="129"/>
      <c r="Y32" s="70"/>
      <c r="Z32" s="70"/>
      <c r="AA32" s="70"/>
      <c r="AB32" s="63"/>
      <c r="AC32" s="70"/>
      <c r="AD32" s="70"/>
      <c r="AE32" s="70"/>
      <c r="AF32" s="72"/>
      <c r="AG32" s="71"/>
      <c r="AH32" s="72"/>
      <c r="AI32" s="72"/>
      <c r="AJ32" s="74"/>
    </row>
    <row r="33" spans="1:36">
      <c r="A33" s="22"/>
      <c r="B33" s="42"/>
      <c r="C33" s="82"/>
      <c r="D33" s="85"/>
      <c r="E33" s="121"/>
      <c r="F33" s="121"/>
      <c r="G33" s="70"/>
      <c r="H33" s="121"/>
      <c r="I33" s="70"/>
      <c r="J33" s="70"/>
      <c r="K33" s="70"/>
      <c r="L33" s="70"/>
      <c r="M33" s="70"/>
      <c r="N33" s="70"/>
      <c r="O33" s="70"/>
      <c r="P33" s="131"/>
      <c r="Q33" s="121"/>
      <c r="R33" s="121"/>
      <c r="S33" s="70"/>
      <c r="T33" s="70"/>
      <c r="U33" s="121"/>
      <c r="V33" s="70"/>
      <c r="W33" s="70"/>
      <c r="X33" s="129"/>
      <c r="Y33" s="70"/>
      <c r="Z33" s="70"/>
      <c r="AA33" s="70"/>
      <c r="AB33" s="63"/>
      <c r="AC33" s="70"/>
      <c r="AD33" s="70"/>
      <c r="AE33" s="70"/>
      <c r="AF33" s="72"/>
      <c r="AG33" s="71"/>
      <c r="AH33" s="72"/>
      <c r="AI33" s="72"/>
      <c r="AJ33" s="74"/>
    </row>
    <row r="34" spans="1:36" s="8" customFormat="1">
      <c r="A34" s="22"/>
      <c r="B34" s="42"/>
      <c r="C34" s="82"/>
      <c r="D34" s="85"/>
      <c r="E34" s="121"/>
      <c r="F34" s="121"/>
      <c r="G34" s="70"/>
      <c r="H34" s="121"/>
      <c r="I34" s="70"/>
      <c r="J34" s="70"/>
      <c r="K34" s="70"/>
      <c r="L34" s="70"/>
      <c r="M34" s="70"/>
      <c r="N34" s="70"/>
      <c r="O34" s="70"/>
      <c r="P34" s="131"/>
      <c r="Q34" s="121"/>
      <c r="R34" s="121"/>
      <c r="S34" s="70"/>
      <c r="T34" s="131"/>
      <c r="U34" s="121"/>
      <c r="V34" s="70"/>
      <c r="W34" s="70"/>
      <c r="X34" s="129"/>
      <c r="Y34" s="70"/>
      <c r="Z34" s="70"/>
      <c r="AA34" s="70"/>
      <c r="AB34" s="63"/>
      <c r="AC34" s="70"/>
      <c r="AD34" s="70"/>
      <c r="AE34" s="70"/>
      <c r="AF34" s="72"/>
      <c r="AG34" s="71"/>
      <c r="AH34" s="72"/>
      <c r="AI34" s="72"/>
      <c r="AJ34" s="74"/>
    </row>
    <row r="35" spans="1:36" s="8" customFormat="1" ht="24.45" customHeight="1">
      <c r="A35" s="23"/>
      <c r="B35" s="42"/>
      <c r="C35" s="82"/>
      <c r="D35" s="85"/>
      <c r="E35" s="121"/>
      <c r="F35" s="121"/>
      <c r="G35" s="70"/>
      <c r="H35" s="124"/>
      <c r="I35" s="70"/>
      <c r="J35" s="70"/>
      <c r="K35" s="70"/>
      <c r="L35" s="70"/>
      <c r="M35" s="70"/>
      <c r="N35" s="70"/>
      <c r="O35" s="70"/>
      <c r="P35" s="131"/>
      <c r="Q35" s="121"/>
      <c r="R35" s="121"/>
      <c r="S35" s="70"/>
      <c r="T35" s="70"/>
      <c r="U35" s="121"/>
      <c r="V35" s="70"/>
      <c r="W35" s="70"/>
      <c r="X35" s="129"/>
      <c r="Y35" s="70"/>
      <c r="Z35" s="70"/>
      <c r="AA35" s="70"/>
      <c r="AB35" s="63"/>
      <c r="AC35" s="70"/>
      <c r="AD35" s="70"/>
      <c r="AE35" s="70"/>
      <c r="AF35" s="72"/>
      <c r="AG35" s="71"/>
      <c r="AH35" s="72"/>
      <c r="AI35" s="72"/>
      <c r="AJ35" s="74"/>
    </row>
    <row r="36" spans="1:36" ht="24.45" customHeight="1">
      <c r="A36" s="23"/>
      <c r="B36" s="42"/>
      <c r="C36" s="83"/>
      <c r="D36" s="86"/>
      <c r="E36" s="121"/>
      <c r="F36" s="121"/>
      <c r="G36" s="70"/>
      <c r="H36" s="124"/>
      <c r="I36" s="70"/>
      <c r="J36" s="70"/>
      <c r="K36" s="70"/>
      <c r="L36" s="70"/>
      <c r="M36" s="70"/>
      <c r="N36" s="70"/>
      <c r="O36" s="70"/>
      <c r="P36" s="131"/>
      <c r="Q36" s="121"/>
      <c r="R36" s="121"/>
      <c r="S36" s="70"/>
      <c r="T36" s="131"/>
      <c r="U36" s="121"/>
      <c r="V36" s="70"/>
      <c r="W36" s="70"/>
      <c r="X36" s="129"/>
      <c r="Y36" s="70"/>
      <c r="Z36" s="70"/>
      <c r="AA36" s="70"/>
      <c r="AB36" s="63"/>
      <c r="AC36" s="70"/>
      <c r="AD36" s="70"/>
      <c r="AE36" s="70"/>
      <c r="AF36" s="72"/>
      <c r="AG36" s="71"/>
      <c r="AH36" s="72"/>
      <c r="AI36" s="72"/>
      <c r="AJ36" s="74"/>
    </row>
    <row r="37" spans="1:36" s="8" customFormat="1" ht="20.55" customHeight="1">
      <c r="A37" s="23"/>
      <c r="B37" s="42"/>
      <c r="C37" s="82"/>
      <c r="D37" s="85"/>
      <c r="E37" s="121"/>
      <c r="F37" s="121"/>
      <c r="G37" s="70"/>
      <c r="H37" s="124"/>
      <c r="I37" s="70"/>
      <c r="J37" s="70"/>
      <c r="K37" s="70"/>
      <c r="L37" s="70"/>
      <c r="M37" s="70"/>
      <c r="N37" s="70"/>
      <c r="O37" s="70"/>
      <c r="P37" s="121"/>
      <c r="Q37" s="121"/>
      <c r="R37" s="121"/>
      <c r="S37" s="70"/>
      <c r="T37" s="131"/>
      <c r="U37" s="121"/>
      <c r="V37" s="70"/>
      <c r="W37" s="70"/>
      <c r="X37" s="129"/>
      <c r="Y37" s="70"/>
      <c r="Z37" s="70"/>
      <c r="AA37" s="70"/>
      <c r="AB37" s="63"/>
      <c r="AC37" s="70"/>
      <c r="AD37" s="70"/>
      <c r="AE37" s="70"/>
      <c r="AF37" s="72"/>
      <c r="AG37" s="71"/>
      <c r="AH37" s="72"/>
      <c r="AI37" s="72"/>
      <c r="AJ37" s="74"/>
    </row>
    <row r="38" spans="1:36" ht="20.55" customHeight="1">
      <c r="A38" s="23"/>
      <c r="B38" s="42"/>
      <c r="C38" s="82"/>
      <c r="D38" s="85"/>
      <c r="E38" s="121"/>
      <c r="F38" s="121"/>
      <c r="G38" s="70"/>
      <c r="H38" s="124"/>
      <c r="I38" s="70"/>
      <c r="J38" s="70"/>
      <c r="K38" s="70"/>
      <c r="L38" s="70"/>
      <c r="M38" s="70"/>
      <c r="N38" s="70"/>
      <c r="O38" s="70"/>
      <c r="P38" s="131"/>
      <c r="Q38" s="121"/>
      <c r="R38" s="121"/>
      <c r="S38" s="70"/>
      <c r="T38" s="131"/>
      <c r="U38" s="130"/>
      <c r="V38" s="70"/>
      <c r="W38" s="70"/>
      <c r="X38" s="129"/>
      <c r="Y38" s="70"/>
      <c r="Z38" s="70"/>
      <c r="AA38" s="70"/>
      <c r="AB38" s="63"/>
      <c r="AC38" s="70"/>
      <c r="AD38" s="70"/>
      <c r="AE38" s="70"/>
      <c r="AF38" s="72"/>
      <c r="AG38" s="71"/>
      <c r="AH38" s="72"/>
      <c r="AI38" s="72"/>
      <c r="AJ38" s="74"/>
    </row>
    <row r="39" spans="1:36" s="8" customFormat="1" ht="20.55" customHeight="1">
      <c r="A39" s="23"/>
      <c r="B39" s="42"/>
      <c r="C39" s="82"/>
      <c r="D39" s="85"/>
      <c r="E39" s="121"/>
      <c r="F39" s="121"/>
      <c r="G39" s="70"/>
      <c r="H39" s="124"/>
      <c r="I39" s="70"/>
      <c r="J39" s="70"/>
      <c r="K39" s="70"/>
      <c r="L39" s="70"/>
      <c r="M39" s="70"/>
      <c r="N39" s="70"/>
      <c r="O39" s="70"/>
      <c r="P39" s="131"/>
      <c r="Q39" s="121"/>
      <c r="R39" s="121"/>
      <c r="S39" s="70"/>
      <c r="T39" s="131"/>
      <c r="U39" s="121"/>
      <c r="V39" s="70"/>
      <c r="W39" s="70"/>
      <c r="X39" s="129"/>
      <c r="Y39" s="70"/>
      <c r="Z39" s="70"/>
      <c r="AA39" s="70"/>
      <c r="AB39" s="63"/>
      <c r="AC39" s="70"/>
      <c r="AD39" s="70"/>
      <c r="AE39" s="70"/>
      <c r="AF39" s="72"/>
      <c r="AG39" s="71"/>
      <c r="AH39" s="72"/>
      <c r="AI39" s="72"/>
      <c r="AJ39" s="74"/>
    </row>
    <row r="40" spans="1:36" ht="20.55" customHeight="1">
      <c r="A40" s="22"/>
      <c r="B40" s="42"/>
      <c r="C40" s="58"/>
      <c r="D40" s="81"/>
      <c r="E40" s="121"/>
      <c r="F40" s="121"/>
      <c r="G40" s="70"/>
      <c r="H40" s="124"/>
      <c r="I40" s="70"/>
      <c r="J40" s="70"/>
      <c r="K40" s="70"/>
      <c r="L40" s="70"/>
      <c r="M40" s="70"/>
      <c r="N40" s="70"/>
      <c r="O40" s="70"/>
      <c r="P40" s="131"/>
      <c r="Q40" s="121"/>
      <c r="R40" s="121"/>
      <c r="S40" s="70"/>
      <c r="T40" s="70"/>
      <c r="U40" s="121"/>
      <c r="V40" s="70"/>
      <c r="W40" s="70"/>
      <c r="X40" s="129"/>
      <c r="Y40" s="70"/>
      <c r="Z40" s="70"/>
      <c r="AA40" s="70"/>
      <c r="AB40" s="63"/>
      <c r="AC40" s="70"/>
      <c r="AD40" s="70"/>
      <c r="AE40" s="70"/>
      <c r="AF40" s="72"/>
      <c r="AG40" s="71"/>
      <c r="AH40" s="72"/>
      <c r="AI40" s="72"/>
      <c r="AJ40" s="74"/>
    </row>
    <row r="41" spans="1:36" s="8" customFormat="1" ht="22.2" customHeight="1">
      <c r="A41" s="22"/>
      <c r="B41" s="42"/>
      <c r="C41" s="83"/>
      <c r="D41" s="86"/>
      <c r="E41" s="121"/>
      <c r="F41" s="121"/>
      <c r="G41" s="70"/>
      <c r="H41" s="124"/>
      <c r="I41" s="70"/>
      <c r="J41" s="70"/>
      <c r="K41" s="70"/>
      <c r="L41" s="70"/>
      <c r="M41" s="70"/>
      <c r="N41" s="70"/>
      <c r="O41" s="70"/>
      <c r="P41" s="121"/>
      <c r="Q41" s="121"/>
      <c r="R41" s="121"/>
      <c r="S41" s="70"/>
      <c r="T41" s="70"/>
      <c r="U41" s="121"/>
      <c r="V41" s="70"/>
      <c r="W41" s="70"/>
      <c r="X41" s="129"/>
      <c r="Y41" s="70"/>
      <c r="Z41" s="70"/>
      <c r="AA41" s="70"/>
      <c r="AB41" s="63"/>
      <c r="AC41" s="70"/>
      <c r="AD41" s="70"/>
      <c r="AE41" s="70"/>
      <c r="AF41" s="72"/>
      <c r="AG41" s="71"/>
      <c r="AH41" s="72"/>
      <c r="AI41" s="72"/>
      <c r="AJ41" s="74"/>
    </row>
    <row r="42" spans="1:36" ht="20.55" customHeight="1">
      <c r="A42" s="22"/>
      <c r="B42" s="42"/>
      <c r="C42" s="82"/>
      <c r="D42" s="85"/>
      <c r="E42" s="121"/>
      <c r="F42" s="121"/>
      <c r="G42" s="70"/>
      <c r="H42" s="124"/>
      <c r="I42" s="70"/>
      <c r="J42" s="70"/>
      <c r="K42" s="70"/>
      <c r="L42" s="70"/>
      <c r="M42" s="70"/>
      <c r="N42" s="70"/>
      <c r="O42" s="70"/>
      <c r="P42" s="131"/>
      <c r="Q42" s="121"/>
      <c r="R42" s="121"/>
      <c r="S42" s="70"/>
      <c r="T42" s="70"/>
      <c r="U42" s="121"/>
      <c r="V42" s="70"/>
      <c r="W42" s="70"/>
      <c r="X42" s="129"/>
      <c r="Y42" s="70"/>
      <c r="Z42" s="70"/>
      <c r="AA42" s="70"/>
      <c r="AB42" s="63"/>
      <c r="AC42" s="70"/>
      <c r="AD42" s="70"/>
      <c r="AE42" s="70"/>
      <c r="AF42" s="72"/>
      <c r="AG42" s="71"/>
      <c r="AH42" s="72"/>
      <c r="AI42" s="72"/>
      <c r="AJ42" s="74"/>
    </row>
    <row r="43" spans="1:36" s="8" customFormat="1" ht="20.55" customHeight="1">
      <c r="A43" s="21"/>
      <c r="B43" s="42"/>
      <c r="C43" s="82"/>
      <c r="D43" s="85"/>
      <c r="E43" s="121"/>
      <c r="F43" s="121"/>
      <c r="G43" s="70"/>
      <c r="H43" s="124"/>
      <c r="I43" s="70"/>
      <c r="J43" s="70"/>
      <c r="K43" s="70"/>
      <c r="L43" s="70"/>
      <c r="M43" s="70"/>
      <c r="N43" s="70"/>
      <c r="O43" s="70"/>
      <c r="P43" s="121"/>
      <c r="Q43" s="121"/>
      <c r="R43" s="121"/>
      <c r="S43" s="70"/>
      <c r="T43" s="70"/>
      <c r="U43" s="121"/>
      <c r="V43" s="70"/>
      <c r="W43" s="70"/>
      <c r="X43" s="129"/>
      <c r="Y43" s="70"/>
      <c r="Z43" s="70"/>
      <c r="AA43" s="70"/>
      <c r="AB43" s="63"/>
      <c r="AC43" s="70"/>
      <c r="AD43" s="70"/>
      <c r="AE43" s="70"/>
      <c r="AF43" s="72"/>
      <c r="AG43" s="71"/>
      <c r="AH43" s="72"/>
      <c r="AI43" s="72"/>
      <c r="AJ43" s="74"/>
    </row>
    <row r="44" spans="1:36" ht="20.55" customHeight="1">
      <c r="A44" s="21"/>
      <c r="B44" s="42"/>
      <c r="C44" s="82"/>
      <c r="D44" s="85"/>
      <c r="E44" s="121"/>
      <c r="F44" s="121"/>
      <c r="G44" s="70"/>
      <c r="H44" s="124"/>
      <c r="I44" s="70"/>
      <c r="J44" s="70"/>
      <c r="K44" s="70"/>
      <c r="L44" s="70"/>
      <c r="M44" s="70"/>
      <c r="N44" s="70"/>
      <c r="O44" s="70"/>
      <c r="P44" s="131"/>
      <c r="Q44" s="121"/>
      <c r="R44" s="121"/>
      <c r="S44" s="70"/>
      <c r="T44" s="70"/>
      <c r="U44" s="121"/>
      <c r="V44" s="70"/>
      <c r="W44" s="70"/>
      <c r="X44" s="129"/>
      <c r="Y44" s="70"/>
      <c r="Z44" s="70"/>
      <c r="AA44" s="70"/>
      <c r="AB44" s="63"/>
      <c r="AC44" s="70"/>
      <c r="AD44" s="70"/>
      <c r="AE44" s="70"/>
      <c r="AF44" s="72"/>
      <c r="AG44" s="71"/>
      <c r="AH44" s="72"/>
      <c r="AI44" s="72"/>
      <c r="AJ44" s="74"/>
    </row>
    <row r="45" spans="1:36" s="8" customFormat="1" ht="20.55" customHeight="1">
      <c r="A45" s="20"/>
      <c r="B45" s="42"/>
      <c r="C45" s="82"/>
      <c r="D45" s="85"/>
      <c r="E45" s="121"/>
      <c r="F45" s="121"/>
      <c r="G45" s="70"/>
      <c r="H45" s="124"/>
      <c r="I45" s="70"/>
      <c r="J45" s="70"/>
      <c r="K45" s="70"/>
      <c r="L45" s="70"/>
      <c r="M45" s="70"/>
      <c r="N45" s="70"/>
      <c r="O45" s="70"/>
      <c r="P45" s="121"/>
      <c r="Q45" s="121"/>
      <c r="R45" s="121"/>
      <c r="S45" s="70"/>
      <c r="T45" s="70"/>
      <c r="U45" s="121"/>
      <c r="V45" s="70"/>
      <c r="W45" s="70"/>
      <c r="X45" s="129"/>
      <c r="Y45" s="70"/>
      <c r="Z45" s="70"/>
      <c r="AA45" s="70"/>
      <c r="AB45" s="63"/>
      <c r="AC45" s="70"/>
      <c r="AD45" s="70"/>
      <c r="AE45" s="70"/>
      <c r="AF45" s="72"/>
      <c r="AG45" s="71"/>
      <c r="AH45" s="72"/>
      <c r="AI45" s="72"/>
      <c r="AJ45" s="43"/>
    </row>
    <row r="46" spans="1:36" ht="20.55" customHeight="1">
      <c r="A46" s="20"/>
      <c r="B46" s="42"/>
      <c r="C46" s="74"/>
      <c r="D46" s="44"/>
      <c r="E46" s="121"/>
      <c r="F46" s="121"/>
      <c r="G46" s="70"/>
      <c r="H46" s="124"/>
      <c r="I46" s="70"/>
      <c r="J46" s="70"/>
      <c r="K46" s="70"/>
      <c r="L46" s="70"/>
      <c r="M46" s="70"/>
      <c r="N46" s="70"/>
      <c r="O46" s="70"/>
      <c r="P46" s="121"/>
      <c r="Q46" s="121"/>
      <c r="R46" s="121"/>
      <c r="S46" s="70"/>
      <c r="T46" s="70"/>
      <c r="U46" s="121"/>
      <c r="V46" s="70"/>
      <c r="W46" s="70"/>
      <c r="X46" s="129"/>
      <c r="Y46" s="70"/>
      <c r="Z46" s="70"/>
      <c r="AA46" s="70"/>
      <c r="AB46" s="63"/>
      <c r="AC46" s="70"/>
      <c r="AD46" s="70"/>
      <c r="AE46" s="70"/>
      <c r="AF46" s="72"/>
      <c r="AG46" s="71"/>
      <c r="AH46" s="72"/>
      <c r="AI46" s="72"/>
      <c r="AJ46" s="74"/>
    </row>
    <row r="47" spans="1:36" s="8" customFormat="1" ht="20.55" customHeight="1">
      <c r="A47" s="21"/>
      <c r="B47" s="42"/>
      <c r="C47" s="144"/>
      <c r="D47" s="152"/>
      <c r="E47" s="121"/>
      <c r="F47" s="121"/>
      <c r="G47" s="70"/>
      <c r="H47" s="121"/>
      <c r="I47" s="70"/>
      <c r="J47" s="70"/>
      <c r="K47" s="70"/>
      <c r="L47" s="131"/>
      <c r="M47" s="70"/>
      <c r="N47" s="70"/>
      <c r="O47" s="70"/>
      <c r="P47" s="131"/>
      <c r="Q47" s="121"/>
      <c r="R47" s="121"/>
      <c r="S47" s="70"/>
      <c r="T47" s="131"/>
      <c r="U47" s="121"/>
      <c r="V47" s="70"/>
      <c r="W47" s="70"/>
      <c r="X47" s="129"/>
      <c r="Y47" s="70"/>
      <c r="Z47" s="70"/>
      <c r="AA47" s="70"/>
      <c r="AB47" s="63"/>
      <c r="AC47" s="70"/>
      <c r="AD47" s="70"/>
      <c r="AE47" s="70"/>
      <c r="AF47" s="72"/>
      <c r="AG47" s="71"/>
      <c r="AH47" s="72"/>
      <c r="AI47" s="72"/>
      <c r="AJ47" s="74"/>
    </row>
    <row r="48" spans="1:36" ht="20.55" customHeight="1">
      <c r="A48" s="20"/>
      <c r="B48" s="42"/>
      <c r="C48" s="82"/>
      <c r="D48" s="85"/>
      <c r="E48" s="121"/>
      <c r="F48" s="121"/>
      <c r="G48" s="70"/>
      <c r="H48" s="124"/>
      <c r="I48" s="70"/>
      <c r="J48" s="70"/>
      <c r="K48" s="70"/>
      <c r="L48" s="70"/>
      <c r="M48" s="70"/>
      <c r="N48" s="70"/>
      <c r="O48" s="70"/>
      <c r="P48" s="131"/>
      <c r="Q48" s="121"/>
      <c r="R48" s="121"/>
      <c r="S48" s="70"/>
      <c r="T48" s="70"/>
      <c r="U48" s="121"/>
      <c r="V48" s="70"/>
      <c r="W48" s="70"/>
      <c r="X48" s="129"/>
      <c r="Y48" s="70"/>
      <c r="Z48" s="70"/>
      <c r="AA48" s="70"/>
      <c r="AB48" s="63"/>
      <c r="AC48" s="70"/>
      <c r="AD48" s="70"/>
      <c r="AE48" s="70"/>
      <c r="AF48" s="72"/>
      <c r="AG48" s="71"/>
      <c r="AH48" s="72"/>
      <c r="AI48" s="72"/>
      <c r="AJ48" s="74"/>
    </row>
    <row r="49" spans="1:36" s="8" customFormat="1" ht="20.55" customHeight="1">
      <c r="A49" s="20"/>
      <c r="B49" s="42"/>
      <c r="C49" s="82"/>
      <c r="D49" s="85"/>
      <c r="E49" s="121"/>
      <c r="F49" s="121"/>
      <c r="G49" s="70"/>
      <c r="H49" s="124"/>
      <c r="I49" s="70"/>
      <c r="J49" s="70"/>
      <c r="K49" s="70"/>
      <c r="L49" s="70"/>
      <c r="M49" s="70"/>
      <c r="N49" s="70"/>
      <c r="O49" s="70"/>
      <c r="P49" s="131"/>
      <c r="Q49" s="121"/>
      <c r="R49" s="121"/>
      <c r="S49" s="70"/>
      <c r="T49" s="70"/>
      <c r="U49" s="121"/>
      <c r="V49" s="70"/>
      <c r="W49" s="70"/>
      <c r="X49" s="129"/>
      <c r="Y49" s="70"/>
      <c r="Z49" s="70"/>
      <c r="AA49" s="70"/>
      <c r="AB49" s="63"/>
      <c r="AC49" s="70"/>
      <c r="AD49" s="70"/>
      <c r="AE49" s="70"/>
      <c r="AF49" s="72"/>
      <c r="AG49" s="71"/>
      <c r="AH49" s="72"/>
      <c r="AI49" s="72"/>
      <c r="AJ49" s="74"/>
    </row>
    <row r="50" spans="1:36" ht="20.55" customHeight="1">
      <c r="A50" s="20"/>
      <c r="B50" s="42"/>
      <c r="C50" s="82"/>
      <c r="D50" s="85"/>
      <c r="E50" s="121"/>
      <c r="F50" s="121"/>
      <c r="G50" s="70"/>
      <c r="H50" s="124"/>
      <c r="I50" s="70"/>
      <c r="J50" s="70"/>
      <c r="K50" s="70"/>
      <c r="L50" s="70"/>
      <c r="M50" s="70"/>
      <c r="N50" s="70"/>
      <c r="O50" s="70"/>
      <c r="P50" s="131"/>
      <c r="Q50" s="121"/>
      <c r="R50" s="121"/>
      <c r="S50" s="70"/>
      <c r="T50" s="70"/>
      <c r="U50" s="121"/>
      <c r="V50" s="70"/>
      <c r="W50" s="70"/>
      <c r="X50" s="129"/>
      <c r="Y50" s="70"/>
      <c r="Z50" s="70"/>
      <c r="AA50" s="70"/>
      <c r="AB50" s="63"/>
      <c r="AC50" s="70"/>
      <c r="AD50" s="70"/>
      <c r="AE50" s="70"/>
      <c r="AF50" s="72"/>
      <c r="AG50" s="71"/>
      <c r="AH50" s="72"/>
      <c r="AI50" s="72"/>
      <c r="AJ50" s="74"/>
    </row>
    <row r="51" spans="1:36" s="8" customFormat="1" ht="20.55" customHeight="1">
      <c r="A51" s="20"/>
      <c r="B51" s="42"/>
      <c r="C51" s="83"/>
      <c r="D51" s="86"/>
      <c r="E51" s="121"/>
      <c r="F51" s="121"/>
      <c r="G51" s="70"/>
      <c r="H51" s="124"/>
      <c r="I51" s="70"/>
      <c r="J51" s="70"/>
      <c r="K51" s="70"/>
      <c r="L51" s="70"/>
      <c r="M51" s="70"/>
      <c r="N51" s="70"/>
      <c r="O51" s="70"/>
      <c r="P51" s="121"/>
      <c r="Q51" s="121"/>
      <c r="R51" s="121"/>
      <c r="S51" s="70"/>
      <c r="T51" s="70"/>
      <c r="U51" s="121"/>
      <c r="V51" s="70"/>
      <c r="W51" s="70"/>
      <c r="X51" s="129"/>
      <c r="Y51" s="70"/>
      <c r="Z51" s="70"/>
      <c r="AA51" s="70"/>
      <c r="AB51" s="63"/>
      <c r="AC51" s="70"/>
      <c r="AD51" s="70"/>
      <c r="AE51" s="70"/>
      <c r="AF51" s="72"/>
      <c r="AG51" s="71"/>
      <c r="AH51" s="72"/>
      <c r="AI51" s="72"/>
      <c r="AJ51" s="74"/>
    </row>
    <row r="52" spans="1:36" ht="20.55" customHeight="1">
      <c r="A52" s="21"/>
      <c r="B52" s="42"/>
      <c r="C52" s="82"/>
      <c r="D52" s="85"/>
      <c r="E52" s="121"/>
      <c r="F52" s="121"/>
      <c r="G52" s="70"/>
      <c r="H52" s="124"/>
      <c r="I52" s="70"/>
      <c r="J52" s="70"/>
      <c r="K52" s="70"/>
      <c r="L52" s="70"/>
      <c r="M52" s="70"/>
      <c r="N52" s="70"/>
      <c r="O52" s="70"/>
      <c r="P52" s="131"/>
      <c r="Q52" s="121"/>
      <c r="R52" s="121"/>
      <c r="S52" s="70"/>
      <c r="T52" s="70"/>
      <c r="U52" s="121"/>
      <c r="V52" s="70"/>
      <c r="W52" s="70"/>
      <c r="X52" s="129"/>
      <c r="Y52" s="70"/>
      <c r="Z52" s="70"/>
      <c r="AA52" s="70"/>
      <c r="AB52" s="63"/>
      <c r="AC52" s="70"/>
      <c r="AD52" s="70"/>
      <c r="AE52" s="70"/>
      <c r="AF52" s="72"/>
      <c r="AG52" s="71"/>
      <c r="AH52" s="72"/>
      <c r="AI52" s="72"/>
      <c r="AJ52" s="74"/>
    </row>
    <row r="53" spans="1:36" s="8" customFormat="1" ht="20.55" customHeight="1">
      <c r="A53" s="21"/>
      <c r="B53" s="42"/>
      <c r="C53" s="82"/>
      <c r="D53" s="85"/>
      <c r="E53" s="121"/>
      <c r="F53" s="121"/>
      <c r="G53" s="70"/>
      <c r="H53" s="124"/>
      <c r="I53" s="70"/>
      <c r="J53" s="70"/>
      <c r="K53" s="70"/>
      <c r="L53" s="70"/>
      <c r="M53" s="70"/>
      <c r="N53" s="70"/>
      <c r="O53" s="70"/>
      <c r="P53" s="121"/>
      <c r="Q53" s="121"/>
      <c r="R53" s="121"/>
      <c r="S53" s="70"/>
      <c r="T53" s="70"/>
      <c r="U53" s="121"/>
      <c r="V53" s="70"/>
      <c r="W53" s="70"/>
      <c r="X53" s="129"/>
      <c r="Y53" s="70"/>
      <c r="Z53" s="70"/>
      <c r="AA53" s="70"/>
      <c r="AB53" s="63"/>
      <c r="AC53" s="70"/>
      <c r="AD53" s="70"/>
      <c r="AE53" s="70"/>
      <c r="AF53" s="72"/>
      <c r="AG53" s="71"/>
      <c r="AH53" s="72"/>
      <c r="AI53" s="72"/>
      <c r="AJ53" s="74"/>
    </row>
    <row r="54" spans="1:36" ht="20.55" customHeight="1">
      <c r="A54" s="21"/>
      <c r="B54" s="42"/>
      <c r="C54" s="82"/>
      <c r="D54" s="85"/>
      <c r="E54" s="121"/>
      <c r="F54" s="121"/>
      <c r="G54" s="70"/>
      <c r="H54" s="124"/>
      <c r="I54" s="70"/>
      <c r="J54" s="70"/>
      <c r="K54" s="70"/>
      <c r="L54" s="70"/>
      <c r="M54" s="70"/>
      <c r="N54" s="70"/>
      <c r="O54" s="70"/>
      <c r="P54" s="121"/>
      <c r="Q54" s="121"/>
      <c r="R54" s="121"/>
      <c r="S54" s="70"/>
      <c r="T54" s="70"/>
      <c r="U54" s="121"/>
      <c r="V54" s="70"/>
      <c r="W54" s="70"/>
      <c r="X54" s="129"/>
      <c r="Y54" s="70"/>
      <c r="Z54" s="70"/>
      <c r="AA54" s="70"/>
      <c r="AB54" s="63"/>
      <c r="AC54" s="70"/>
      <c r="AD54" s="70"/>
      <c r="AE54" s="70"/>
      <c r="AF54" s="72"/>
      <c r="AG54" s="71"/>
      <c r="AH54" s="72"/>
      <c r="AI54" s="72"/>
      <c r="AJ54" s="74"/>
    </row>
    <row r="55" spans="1:36" s="8" customFormat="1" ht="20.55" customHeight="1">
      <c r="A55" s="21"/>
      <c r="B55" s="42"/>
      <c r="C55" s="82"/>
      <c r="D55" s="85"/>
      <c r="E55" s="121"/>
      <c r="F55" s="121"/>
      <c r="G55" s="70"/>
      <c r="H55" s="124"/>
      <c r="I55" s="70"/>
      <c r="J55" s="70"/>
      <c r="K55" s="70"/>
      <c r="L55" s="131"/>
      <c r="M55" s="70"/>
      <c r="N55" s="70"/>
      <c r="O55" s="70"/>
      <c r="P55" s="131"/>
      <c r="Q55" s="121"/>
      <c r="R55" s="121"/>
      <c r="S55" s="70"/>
      <c r="T55" s="70"/>
      <c r="U55" s="121"/>
      <c r="V55" s="70"/>
      <c r="W55" s="70"/>
      <c r="X55" s="129"/>
      <c r="Y55" s="70"/>
      <c r="Z55" s="70"/>
      <c r="AA55" s="70"/>
      <c r="AB55" s="63"/>
      <c r="AC55" s="70"/>
      <c r="AD55" s="70"/>
      <c r="AE55" s="70"/>
      <c r="AF55" s="72"/>
      <c r="AG55" s="71"/>
      <c r="AH55" s="72"/>
      <c r="AI55" s="72"/>
      <c r="AJ55" s="74"/>
    </row>
    <row r="56" spans="1:36" ht="20.55" customHeight="1">
      <c r="A56" s="22"/>
      <c r="B56" s="135"/>
      <c r="C56" s="157"/>
      <c r="D56" s="79"/>
      <c r="E56" s="121"/>
      <c r="F56" s="121"/>
      <c r="G56" s="70"/>
      <c r="H56" s="124"/>
      <c r="I56" s="70"/>
      <c r="J56" s="70"/>
      <c r="K56" s="70"/>
      <c r="L56" s="70"/>
      <c r="M56" s="70"/>
      <c r="N56" s="70"/>
      <c r="O56" s="70"/>
      <c r="P56" s="131"/>
      <c r="Q56" s="121"/>
      <c r="R56" s="121"/>
      <c r="S56" s="70"/>
      <c r="T56" s="70"/>
      <c r="U56" s="121"/>
      <c r="V56" s="70"/>
      <c r="W56" s="70"/>
      <c r="X56" s="129"/>
      <c r="Y56" s="70"/>
      <c r="Z56" s="70"/>
      <c r="AA56" s="70"/>
      <c r="AB56" s="63"/>
      <c r="AC56" s="70"/>
      <c r="AD56" s="70"/>
      <c r="AE56" s="70"/>
      <c r="AF56" s="72"/>
      <c r="AG56" s="71"/>
      <c r="AH56" s="72"/>
      <c r="AI56" s="72"/>
      <c r="AJ56" s="74"/>
    </row>
    <row r="57" spans="1:36" s="8" customFormat="1" ht="20.55" customHeight="1">
      <c r="A57" s="23"/>
      <c r="B57" s="42"/>
      <c r="C57" s="82"/>
      <c r="D57" s="85"/>
      <c r="E57" s="121"/>
      <c r="F57" s="121"/>
      <c r="G57" s="70"/>
      <c r="H57" s="124"/>
      <c r="I57" s="70"/>
      <c r="J57" s="70"/>
      <c r="K57" s="70"/>
      <c r="L57" s="70"/>
      <c r="M57" s="70"/>
      <c r="N57" s="70"/>
      <c r="O57" s="70"/>
      <c r="P57" s="121"/>
      <c r="Q57" s="121"/>
      <c r="R57" s="121"/>
      <c r="S57" s="70"/>
      <c r="T57" s="70"/>
      <c r="U57" s="121"/>
      <c r="V57" s="70"/>
      <c r="W57" s="70"/>
      <c r="X57" s="129"/>
      <c r="Y57" s="70"/>
      <c r="Z57" s="70"/>
      <c r="AA57" s="70"/>
      <c r="AB57" s="63"/>
      <c r="AC57" s="70"/>
      <c r="AD57" s="70"/>
      <c r="AE57" s="70"/>
      <c r="AF57" s="72"/>
      <c r="AG57" s="71"/>
      <c r="AH57" s="72"/>
      <c r="AI57" s="72"/>
      <c r="AJ57" s="74"/>
    </row>
    <row r="58" spans="1:36" ht="20.55" customHeight="1">
      <c r="A58" s="21"/>
      <c r="B58" s="42"/>
      <c r="C58" s="82"/>
      <c r="D58" s="85"/>
      <c r="E58" s="121"/>
      <c r="F58" s="121"/>
      <c r="G58" s="70"/>
      <c r="H58" s="124"/>
      <c r="I58" s="70"/>
      <c r="J58" s="70"/>
      <c r="K58" s="70"/>
      <c r="L58" s="70"/>
      <c r="M58" s="70"/>
      <c r="N58" s="70"/>
      <c r="O58" s="70"/>
      <c r="P58" s="121"/>
      <c r="Q58" s="121"/>
      <c r="R58" s="121"/>
      <c r="S58" s="70"/>
      <c r="T58" s="70"/>
      <c r="U58" s="121"/>
      <c r="V58" s="70"/>
      <c r="W58" s="70"/>
      <c r="X58" s="129"/>
      <c r="Y58" s="70"/>
      <c r="Z58" s="70"/>
      <c r="AA58" s="70"/>
      <c r="AB58" s="63"/>
      <c r="AC58" s="70"/>
      <c r="AD58" s="70"/>
      <c r="AE58" s="70"/>
      <c r="AF58" s="72"/>
      <c r="AG58" s="71"/>
      <c r="AH58" s="72"/>
      <c r="AI58" s="72"/>
      <c r="AJ58" s="74"/>
    </row>
    <row r="59" spans="1:36" s="8" customFormat="1" ht="20.55" customHeight="1">
      <c r="A59" s="23"/>
      <c r="B59" s="34"/>
      <c r="C59" s="140"/>
      <c r="D59" s="147"/>
      <c r="E59" s="124"/>
      <c r="F59" s="124"/>
      <c r="G59" s="30"/>
      <c r="H59" s="124"/>
      <c r="I59" s="120"/>
      <c r="J59" s="120"/>
      <c r="K59" s="30"/>
      <c r="L59" s="70"/>
      <c r="M59" s="120"/>
      <c r="N59" s="120"/>
      <c r="O59" s="30"/>
      <c r="P59" s="121"/>
      <c r="Q59" s="124"/>
      <c r="R59" s="124"/>
      <c r="S59" s="30"/>
      <c r="T59" s="70"/>
      <c r="U59" s="124"/>
      <c r="V59" s="120"/>
      <c r="W59" s="30"/>
      <c r="X59" s="129"/>
      <c r="Y59" s="120"/>
      <c r="Z59" s="120"/>
      <c r="AA59" s="30"/>
      <c r="AB59" s="63"/>
      <c r="AC59" s="120"/>
      <c r="AD59" s="120"/>
      <c r="AE59" s="30"/>
      <c r="AF59" s="37"/>
      <c r="AG59" s="31"/>
      <c r="AH59" s="37"/>
      <c r="AI59" s="37"/>
      <c r="AJ59" s="6"/>
    </row>
    <row r="60" spans="1:36">
      <c r="A60" s="48"/>
      <c r="B60" s="75"/>
      <c r="C60" s="78"/>
      <c r="D60" s="149"/>
      <c r="E60" s="122"/>
      <c r="F60" s="122"/>
      <c r="G60" s="66"/>
      <c r="H60" s="121"/>
      <c r="I60" s="66"/>
      <c r="J60" s="66"/>
      <c r="K60" s="66"/>
      <c r="L60" s="70"/>
      <c r="M60" s="66"/>
      <c r="N60" s="66"/>
      <c r="O60" s="66"/>
      <c r="P60" s="122"/>
      <c r="Q60" s="122"/>
      <c r="R60" s="122"/>
      <c r="S60" s="66"/>
      <c r="T60" s="70"/>
      <c r="U60" s="122"/>
      <c r="V60" s="66"/>
      <c r="W60" s="66"/>
      <c r="X60" s="129"/>
      <c r="Y60" s="66"/>
      <c r="Z60" s="66"/>
      <c r="AA60" s="66"/>
      <c r="AB60" s="63"/>
      <c r="AC60" s="66"/>
      <c r="AD60" s="66"/>
      <c r="AE60" s="66"/>
      <c r="AF60" s="68"/>
      <c r="AG60" s="67"/>
      <c r="AH60" s="68"/>
      <c r="AI60" s="68"/>
      <c r="AJ60" s="69"/>
    </row>
    <row r="61" spans="1:36" s="9" customFormat="1" ht="19.2" customHeight="1">
      <c r="A61" s="22"/>
      <c r="B61" s="75"/>
      <c r="C61" s="60"/>
      <c r="D61" s="148"/>
      <c r="E61" s="122"/>
      <c r="F61" s="122"/>
      <c r="G61" s="66"/>
      <c r="H61" s="121"/>
      <c r="I61" s="66"/>
      <c r="J61" s="66"/>
      <c r="K61" s="66"/>
      <c r="L61" s="70"/>
      <c r="M61" s="66"/>
      <c r="N61" s="66"/>
      <c r="O61" s="66"/>
      <c r="P61" s="122"/>
      <c r="Q61" s="122"/>
      <c r="R61" s="122"/>
      <c r="S61" s="66"/>
      <c r="T61" s="70"/>
      <c r="U61" s="122"/>
      <c r="V61" s="66"/>
      <c r="W61" s="66"/>
      <c r="X61" s="129"/>
      <c r="Y61" s="66"/>
      <c r="Z61" s="66"/>
      <c r="AA61" s="66"/>
      <c r="AB61" s="63"/>
      <c r="AC61" s="66"/>
      <c r="AD61" s="66"/>
      <c r="AE61" s="66"/>
      <c r="AF61" s="68"/>
      <c r="AG61" s="67"/>
      <c r="AH61" s="68"/>
      <c r="AI61" s="68"/>
      <c r="AJ61" s="77"/>
    </row>
    <row r="62" spans="1:36">
      <c r="A62" s="22"/>
      <c r="B62" s="75"/>
      <c r="C62" s="60"/>
      <c r="D62" s="76"/>
      <c r="E62" s="122"/>
      <c r="F62" s="122"/>
      <c r="G62" s="66"/>
      <c r="H62" s="121"/>
      <c r="I62" s="66"/>
      <c r="J62" s="66"/>
      <c r="K62" s="66"/>
      <c r="L62" s="70"/>
      <c r="M62" s="66"/>
      <c r="N62" s="66"/>
      <c r="O62" s="66"/>
      <c r="P62" s="122"/>
      <c r="Q62" s="122"/>
      <c r="R62" s="122"/>
      <c r="S62" s="66"/>
      <c r="T62" s="131"/>
      <c r="U62" s="122"/>
      <c r="V62" s="66"/>
      <c r="W62" s="66"/>
      <c r="X62" s="129"/>
      <c r="Y62" s="66"/>
      <c r="Z62" s="66"/>
      <c r="AA62" s="66"/>
      <c r="AB62" s="63"/>
      <c r="AC62" s="66"/>
      <c r="AD62" s="66"/>
      <c r="AE62" s="66"/>
      <c r="AF62" s="68"/>
      <c r="AG62" s="67"/>
      <c r="AH62" s="68"/>
      <c r="AI62" s="68"/>
      <c r="AJ62" s="77"/>
    </row>
    <row r="63" spans="1:36" s="8" customFormat="1">
      <c r="A63" s="22"/>
      <c r="B63" s="75"/>
      <c r="C63" s="60"/>
      <c r="D63" s="76"/>
      <c r="E63" s="122"/>
      <c r="F63" s="122"/>
      <c r="G63" s="66"/>
      <c r="H63" s="121"/>
      <c r="I63" s="66"/>
      <c r="J63" s="66"/>
      <c r="K63" s="66"/>
      <c r="L63" s="70"/>
      <c r="M63" s="66"/>
      <c r="N63" s="66"/>
      <c r="O63" s="66"/>
      <c r="P63" s="122"/>
      <c r="Q63" s="122"/>
      <c r="R63" s="122"/>
      <c r="S63" s="66"/>
      <c r="T63" s="70"/>
      <c r="U63" s="122"/>
      <c r="V63" s="66"/>
      <c r="W63" s="66"/>
      <c r="X63" s="129"/>
      <c r="Y63" s="66"/>
      <c r="Z63" s="66"/>
      <c r="AA63" s="66"/>
      <c r="AB63" s="63"/>
      <c r="AC63" s="66"/>
      <c r="AD63" s="66"/>
      <c r="AE63" s="66"/>
      <c r="AF63" s="68"/>
      <c r="AG63" s="67"/>
      <c r="AH63" s="68"/>
      <c r="AI63" s="68"/>
      <c r="AJ63" s="77"/>
    </row>
    <row r="64" spans="1:36" ht="20.55" customHeight="1">
      <c r="A64" s="23"/>
      <c r="B64" s="75"/>
      <c r="C64" s="60"/>
      <c r="D64" s="150"/>
      <c r="E64" s="122"/>
      <c r="F64" s="122"/>
      <c r="G64" s="66"/>
      <c r="H64" s="121"/>
      <c r="I64" s="66"/>
      <c r="J64" s="66"/>
      <c r="K64" s="66"/>
      <c r="L64" s="70"/>
      <c r="M64" s="66"/>
      <c r="N64" s="66"/>
      <c r="O64" s="66"/>
      <c r="P64" s="122"/>
      <c r="Q64" s="122"/>
      <c r="R64" s="122"/>
      <c r="S64" s="66"/>
      <c r="T64" s="70"/>
      <c r="U64" s="122"/>
      <c r="V64" s="66"/>
      <c r="W64" s="66"/>
      <c r="X64" s="129"/>
      <c r="Y64" s="66"/>
      <c r="Z64" s="66"/>
      <c r="AA64" s="66"/>
      <c r="AB64" s="63"/>
      <c r="AC64" s="66"/>
      <c r="AD64" s="66"/>
      <c r="AE64" s="66"/>
      <c r="AF64" s="68"/>
      <c r="AG64" s="67"/>
      <c r="AH64" s="68"/>
      <c r="AI64" s="68"/>
      <c r="AJ64" s="77"/>
    </row>
    <row r="65" spans="1:36" s="8" customFormat="1" ht="24.45" customHeight="1">
      <c r="A65" s="22"/>
      <c r="B65" s="75"/>
      <c r="C65" s="78"/>
      <c r="D65" s="80"/>
      <c r="E65" s="122"/>
      <c r="F65" s="122"/>
      <c r="G65" s="66"/>
      <c r="H65" s="121"/>
      <c r="I65" s="66"/>
      <c r="J65" s="66"/>
      <c r="K65" s="66"/>
      <c r="L65" s="70"/>
      <c r="M65" s="66"/>
      <c r="N65" s="66"/>
      <c r="O65" s="66"/>
      <c r="P65" s="122"/>
      <c r="Q65" s="122"/>
      <c r="R65" s="122"/>
      <c r="S65" s="66"/>
      <c r="T65" s="70"/>
      <c r="U65" s="122"/>
      <c r="V65" s="66"/>
      <c r="W65" s="66"/>
      <c r="X65" s="129"/>
      <c r="Y65" s="66"/>
      <c r="Z65" s="66"/>
      <c r="AA65" s="66"/>
      <c r="AB65" s="63"/>
      <c r="AC65" s="66"/>
      <c r="AD65" s="66"/>
      <c r="AE65" s="66"/>
      <c r="AF65" s="68"/>
      <c r="AG65" s="67"/>
      <c r="AH65" s="68"/>
      <c r="AI65" s="68"/>
      <c r="AJ65" s="77"/>
    </row>
    <row r="66" spans="1:36" ht="24.45" customHeight="1">
      <c r="A66" s="22"/>
      <c r="B66" s="75"/>
      <c r="C66" s="78"/>
      <c r="D66" s="80"/>
      <c r="E66" s="122"/>
      <c r="F66" s="122"/>
      <c r="G66" s="66"/>
      <c r="H66" s="121"/>
      <c r="I66" s="66"/>
      <c r="J66" s="66"/>
      <c r="K66" s="66"/>
      <c r="L66" s="70"/>
      <c r="M66" s="66"/>
      <c r="N66" s="66"/>
      <c r="O66" s="66"/>
      <c r="P66" s="122"/>
      <c r="Q66" s="122"/>
      <c r="R66" s="122"/>
      <c r="S66" s="66"/>
      <c r="T66" s="70"/>
      <c r="U66" s="122"/>
      <c r="V66" s="66"/>
      <c r="W66" s="66"/>
      <c r="X66" s="129"/>
      <c r="Y66" s="66"/>
      <c r="Z66" s="66"/>
      <c r="AA66" s="66"/>
      <c r="AB66" s="63"/>
      <c r="AC66" s="66"/>
      <c r="AD66" s="66"/>
      <c r="AE66" s="66"/>
      <c r="AF66" s="68"/>
      <c r="AG66" s="67"/>
      <c r="AH66" s="68"/>
      <c r="AI66" s="68"/>
      <c r="AJ66" s="77"/>
    </row>
    <row r="67" spans="1:36" s="8" customFormat="1" ht="20.55" customHeight="1">
      <c r="A67" s="21"/>
      <c r="B67" s="75"/>
      <c r="C67" s="78"/>
      <c r="D67" s="80"/>
      <c r="E67" s="122"/>
      <c r="F67" s="122"/>
      <c r="G67" s="66"/>
      <c r="H67" s="121"/>
      <c r="I67" s="66"/>
      <c r="J67" s="66"/>
      <c r="K67" s="66"/>
      <c r="L67" s="70"/>
      <c r="M67" s="66"/>
      <c r="N67" s="66"/>
      <c r="O67" s="66"/>
      <c r="P67" s="131"/>
      <c r="Q67" s="122"/>
      <c r="R67" s="122"/>
      <c r="S67" s="66"/>
      <c r="T67" s="131"/>
      <c r="U67" s="122"/>
      <c r="V67" s="66"/>
      <c r="W67" s="66"/>
      <c r="X67" s="129"/>
      <c r="Y67" s="66"/>
      <c r="Z67" s="66"/>
      <c r="AA67" s="66"/>
      <c r="AB67" s="63"/>
      <c r="AC67" s="66"/>
      <c r="AD67" s="66"/>
      <c r="AE67" s="66"/>
      <c r="AF67" s="68"/>
      <c r="AG67" s="67"/>
      <c r="AH67" s="68"/>
      <c r="AI67" s="68"/>
      <c r="AJ67" s="77"/>
    </row>
    <row r="68" spans="1:36" ht="20.55" customHeight="1">
      <c r="A68" s="20"/>
      <c r="B68" s="75"/>
      <c r="C68" s="84"/>
      <c r="D68" s="87"/>
      <c r="E68" s="122"/>
      <c r="F68" s="122"/>
      <c r="G68" s="66"/>
      <c r="H68" s="121"/>
      <c r="I68" s="66"/>
      <c r="J68" s="66"/>
      <c r="K68" s="66"/>
      <c r="L68" s="70"/>
      <c r="M68" s="66"/>
      <c r="N68" s="66"/>
      <c r="O68" s="66"/>
      <c r="P68" s="121"/>
      <c r="Q68" s="122"/>
      <c r="R68" s="122"/>
      <c r="S68" s="66"/>
      <c r="T68" s="70"/>
      <c r="U68" s="122"/>
      <c r="V68" s="66"/>
      <c r="W68" s="66"/>
      <c r="X68" s="129"/>
      <c r="Y68" s="66"/>
      <c r="Z68" s="66"/>
      <c r="AA68" s="66"/>
      <c r="AB68" s="63"/>
      <c r="AC68" s="66"/>
      <c r="AD68" s="66"/>
      <c r="AE68" s="66"/>
      <c r="AF68" s="68"/>
      <c r="AG68" s="67"/>
      <c r="AH68" s="68"/>
      <c r="AI68" s="68"/>
      <c r="AJ68" s="77"/>
    </row>
    <row r="69" spans="1:36" ht="24.45" customHeight="1">
      <c r="A69" s="22"/>
      <c r="B69" s="75"/>
      <c r="C69" s="88"/>
      <c r="D69" s="89"/>
      <c r="E69" s="122"/>
      <c r="F69" s="122"/>
      <c r="G69" s="66"/>
      <c r="H69" s="124"/>
      <c r="I69" s="66"/>
      <c r="J69" s="66"/>
      <c r="K69" s="66"/>
      <c r="L69" s="70"/>
      <c r="M69" s="66"/>
      <c r="N69" s="66"/>
      <c r="O69" s="66"/>
      <c r="P69" s="121"/>
      <c r="Q69" s="122"/>
      <c r="R69" s="122"/>
      <c r="S69" s="66"/>
      <c r="T69" s="70"/>
      <c r="U69" s="122"/>
      <c r="V69" s="66"/>
      <c r="W69" s="66"/>
      <c r="X69" s="129"/>
      <c r="Y69" s="66"/>
      <c r="Z69" s="66"/>
      <c r="AA69" s="66"/>
      <c r="AB69" s="63"/>
      <c r="AC69" s="66"/>
      <c r="AD69" s="66"/>
      <c r="AE69" s="66"/>
      <c r="AF69" s="68"/>
      <c r="AG69" s="67"/>
      <c r="AH69" s="68"/>
      <c r="AI69" s="68"/>
      <c r="AJ69" s="77"/>
    </row>
    <row r="70" spans="1:36" s="9" customFormat="1" ht="19.2" customHeight="1">
      <c r="A70" s="21"/>
      <c r="B70" s="75"/>
      <c r="C70" s="84"/>
      <c r="D70" s="87"/>
      <c r="E70" s="122"/>
      <c r="F70" s="122"/>
      <c r="G70" s="66"/>
      <c r="H70" s="124"/>
      <c r="I70" s="66"/>
      <c r="J70" s="66"/>
      <c r="K70" s="66"/>
      <c r="L70" s="70"/>
      <c r="M70" s="66"/>
      <c r="N70" s="66"/>
      <c r="O70" s="66"/>
      <c r="P70" s="131"/>
      <c r="Q70" s="122"/>
      <c r="R70" s="122"/>
      <c r="S70" s="66"/>
      <c r="T70" s="70"/>
      <c r="U70" s="122"/>
      <c r="V70" s="66"/>
      <c r="W70" s="66"/>
      <c r="X70" s="129"/>
      <c r="Y70" s="66"/>
      <c r="Z70" s="66"/>
      <c r="AA70" s="66"/>
      <c r="AB70" s="63"/>
      <c r="AC70" s="66"/>
      <c r="AD70" s="66"/>
      <c r="AE70" s="66"/>
      <c r="AF70" s="68"/>
      <c r="AG70" s="67"/>
      <c r="AH70" s="68"/>
      <c r="AI70" s="68"/>
      <c r="AJ70" s="77"/>
    </row>
    <row r="71" spans="1:36" ht="26.55" customHeight="1">
      <c r="A71" s="21"/>
      <c r="B71" s="75"/>
      <c r="C71" s="84"/>
      <c r="D71" s="87"/>
      <c r="E71" s="122"/>
      <c r="F71" s="122"/>
      <c r="G71" s="66"/>
      <c r="H71" s="124"/>
      <c r="I71" s="66"/>
      <c r="J71" s="66"/>
      <c r="K71" s="66"/>
      <c r="L71" s="70"/>
      <c r="M71" s="66"/>
      <c r="N71" s="66"/>
      <c r="O71" s="66"/>
      <c r="P71" s="131"/>
      <c r="Q71" s="122"/>
      <c r="R71" s="122"/>
      <c r="S71" s="66"/>
      <c r="T71" s="131"/>
      <c r="U71" s="122"/>
      <c r="V71" s="66"/>
      <c r="W71" s="66"/>
      <c r="X71" s="129"/>
      <c r="Y71" s="66"/>
      <c r="Z71" s="66"/>
      <c r="AA71" s="66"/>
      <c r="AB71" s="63"/>
      <c r="AC71" s="66"/>
      <c r="AD71" s="66"/>
      <c r="AE71" s="66"/>
      <c r="AF71" s="68"/>
      <c r="AG71" s="67"/>
      <c r="AH71" s="68"/>
      <c r="AI71" s="68"/>
      <c r="AJ71" s="77"/>
    </row>
    <row r="72" spans="1:36" s="8" customFormat="1" ht="29.55" customHeight="1">
      <c r="A72" s="21"/>
      <c r="B72" s="75"/>
      <c r="C72" s="84"/>
      <c r="D72" s="87"/>
      <c r="E72" s="122"/>
      <c r="F72" s="122"/>
      <c r="G72" s="66"/>
      <c r="H72" s="124"/>
      <c r="I72" s="66"/>
      <c r="J72" s="66"/>
      <c r="K72" s="66"/>
      <c r="L72" s="131"/>
      <c r="M72" s="66"/>
      <c r="N72" s="66"/>
      <c r="O72" s="66"/>
      <c r="P72" s="131"/>
      <c r="Q72" s="122"/>
      <c r="R72" s="122"/>
      <c r="S72" s="66"/>
      <c r="T72" s="70"/>
      <c r="U72" s="122"/>
      <c r="V72" s="66"/>
      <c r="W72" s="66"/>
      <c r="X72" s="129"/>
      <c r="Y72" s="66"/>
      <c r="Z72" s="66"/>
      <c r="AA72" s="66"/>
      <c r="AB72" s="63"/>
      <c r="AC72" s="66"/>
      <c r="AD72" s="66"/>
      <c r="AE72" s="66"/>
      <c r="AF72" s="68"/>
      <c r="AG72" s="67"/>
      <c r="AH72" s="68"/>
      <c r="AI72" s="68"/>
      <c r="AJ72" s="77"/>
    </row>
    <row r="73" spans="1:36" ht="20.55" customHeight="1">
      <c r="A73" s="21"/>
      <c r="B73" s="75"/>
      <c r="C73" s="139"/>
      <c r="D73" s="87"/>
      <c r="E73" s="122"/>
      <c r="F73" s="122"/>
      <c r="G73" s="66"/>
      <c r="H73" s="124"/>
      <c r="I73" s="66"/>
      <c r="J73" s="66"/>
      <c r="K73" s="66"/>
      <c r="L73" s="70"/>
      <c r="M73" s="66"/>
      <c r="N73" s="66"/>
      <c r="O73" s="66"/>
      <c r="P73" s="131"/>
      <c r="Q73" s="122"/>
      <c r="R73" s="122"/>
      <c r="S73" s="66"/>
      <c r="T73" s="70"/>
      <c r="U73" s="122"/>
      <c r="V73" s="66"/>
      <c r="W73" s="66"/>
      <c r="X73" s="129"/>
      <c r="Y73" s="66"/>
      <c r="Z73" s="66"/>
      <c r="AA73" s="66"/>
      <c r="AB73" s="63"/>
      <c r="AC73" s="66"/>
      <c r="AD73" s="66"/>
      <c r="AE73" s="66"/>
      <c r="AF73" s="68"/>
      <c r="AG73" s="67"/>
      <c r="AH73" s="68"/>
      <c r="AI73" s="68"/>
      <c r="AJ73" s="77"/>
    </row>
    <row r="74" spans="1:36" s="9" customFormat="1" ht="19.2" customHeight="1">
      <c r="A74" s="21"/>
      <c r="B74" s="136"/>
      <c r="C74" s="143"/>
      <c r="D74" s="151"/>
      <c r="E74" s="122"/>
      <c r="F74" s="122"/>
      <c r="G74" s="66"/>
      <c r="H74" s="124"/>
      <c r="I74" s="66"/>
      <c r="J74" s="66"/>
      <c r="K74" s="66"/>
      <c r="L74" s="70"/>
      <c r="M74" s="66"/>
      <c r="N74" s="66"/>
      <c r="O74" s="66"/>
      <c r="P74" s="121"/>
      <c r="Q74" s="122"/>
      <c r="R74" s="122"/>
      <c r="S74" s="66"/>
      <c r="T74" s="70"/>
      <c r="U74" s="122"/>
      <c r="V74" s="66"/>
      <c r="W74" s="66"/>
      <c r="X74" s="129"/>
      <c r="Y74" s="66"/>
      <c r="Z74" s="66"/>
      <c r="AA74" s="66"/>
      <c r="AB74" s="63"/>
      <c r="AC74" s="66"/>
      <c r="AD74" s="66"/>
      <c r="AE74" s="66"/>
      <c r="AF74" s="68"/>
      <c r="AG74" s="67"/>
      <c r="AH74" s="68"/>
      <c r="AI74" s="68"/>
      <c r="AJ74" s="77"/>
    </row>
    <row r="75" spans="1:36" ht="24.45" customHeight="1">
      <c r="A75" s="21"/>
      <c r="B75" s="98"/>
      <c r="C75" s="118"/>
      <c r="D75" s="155"/>
      <c r="E75" s="122"/>
      <c r="F75" s="122"/>
      <c r="G75" s="66"/>
      <c r="H75" s="124"/>
      <c r="I75" s="66"/>
      <c r="J75" s="66"/>
      <c r="K75" s="66"/>
      <c r="L75" s="70"/>
      <c r="M75" s="66"/>
      <c r="N75" s="66"/>
      <c r="O75" s="66"/>
      <c r="P75" s="131"/>
      <c r="Q75" s="122"/>
      <c r="R75" s="122"/>
      <c r="S75" s="66"/>
      <c r="T75" s="70"/>
      <c r="U75" s="122"/>
      <c r="V75" s="66"/>
      <c r="W75" s="66"/>
      <c r="X75" s="129"/>
      <c r="Y75" s="66"/>
      <c r="Z75" s="66"/>
      <c r="AA75" s="66"/>
      <c r="AB75" s="63"/>
      <c r="AC75" s="66"/>
      <c r="AD75" s="66"/>
      <c r="AE75" s="66"/>
      <c r="AF75" s="68"/>
      <c r="AG75" s="67"/>
      <c r="AH75" s="68"/>
      <c r="AI75" s="68"/>
      <c r="AJ75" s="77"/>
    </row>
    <row r="76" spans="1:36" s="8" customFormat="1" ht="24.45" customHeight="1">
      <c r="A76" s="23"/>
      <c r="B76" s="75"/>
      <c r="C76" s="60"/>
      <c r="D76" s="150"/>
      <c r="E76" s="122"/>
      <c r="F76" s="122"/>
      <c r="G76" s="66"/>
      <c r="H76" s="121"/>
      <c r="I76" s="66"/>
      <c r="J76" s="66"/>
      <c r="K76" s="66"/>
      <c r="L76" s="70"/>
      <c r="M76" s="66"/>
      <c r="N76" s="66"/>
      <c r="O76" s="66"/>
      <c r="P76" s="122"/>
      <c r="Q76" s="122"/>
      <c r="R76" s="122"/>
      <c r="S76" s="66"/>
      <c r="T76" s="70"/>
      <c r="U76" s="122"/>
      <c r="V76" s="66"/>
      <c r="W76" s="66"/>
      <c r="X76" s="129"/>
      <c r="Y76" s="66"/>
      <c r="Z76" s="66"/>
      <c r="AA76" s="66"/>
      <c r="AB76" s="63"/>
      <c r="AC76" s="66"/>
      <c r="AD76" s="66"/>
      <c r="AE76" s="66"/>
      <c r="AF76" s="68"/>
      <c r="AG76" s="67"/>
      <c r="AH76" s="68"/>
      <c r="AI76" s="68"/>
      <c r="AJ76" s="77"/>
    </row>
    <row r="77" spans="1:36" ht="24.45" customHeight="1">
      <c r="A77" s="23"/>
      <c r="B77" s="75"/>
      <c r="C77" s="78"/>
      <c r="D77" s="80"/>
      <c r="E77" s="122"/>
      <c r="F77" s="122"/>
      <c r="G77" s="66"/>
      <c r="H77" s="121"/>
      <c r="I77" s="66"/>
      <c r="J77" s="66"/>
      <c r="K77" s="66"/>
      <c r="L77" s="70"/>
      <c r="M77" s="66"/>
      <c r="N77" s="66"/>
      <c r="O77" s="66"/>
      <c r="P77" s="131"/>
      <c r="Q77" s="122"/>
      <c r="R77" s="122"/>
      <c r="S77" s="66"/>
      <c r="T77" s="131"/>
      <c r="U77" s="122"/>
      <c r="V77" s="66"/>
      <c r="W77" s="66"/>
      <c r="X77" s="129"/>
      <c r="Y77" s="66"/>
      <c r="Z77" s="66"/>
      <c r="AA77" s="66"/>
      <c r="AB77" s="63"/>
      <c r="AC77" s="66"/>
      <c r="AD77" s="66"/>
      <c r="AE77" s="66"/>
      <c r="AF77" s="68"/>
      <c r="AG77" s="67"/>
      <c r="AH77" s="68"/>
      <c r="AI77" s="68"/>
      <c r="AJ77" s="77"/>
    </row>
    <row r="78" spans="1:36" s="8" customFormat="1" ht="20.55" customHeight="1">
      <c r="A78" s="22"/>
      <c r="B78" s="75"/>
      <c r="C78" s="60"/>
      <c r="D78" s="146"/>
      <c r="E78" s="122"/>
      <c r="F78" s="122"/>
      <c r="G78" s="66"/>
      <c r="H78" s="121"/>
      <c r="I78" s="66"/>
      <c r="J78" s="66"/>
      <c r="K78" s="66"/>
      <c r="L78" s="70"/>
      <c r="M78" s="66"/>
      <c r="N78" s="66"/>
      <c r="O78" s="66"/>
      <c r="P78" s="121"/>
      <c r="Q78" s="122"/>
      <c r="R78" s="122"/>
      <c r="S78" s="66"/>
      <c r="T78" s="70"/>
      <c r="U78" s="122"/>
      <c r="V78" s="66"/>
      <c r="W78" s="66"/>
      <c r="X78" s="129"/>
      <c r="Y78" s="66"/>
      <c r="Z78" s="66"/>
      <c r="AA78" s="66"/>
      <c r="AB78" s="63"/>
      <c r="AC78" s="66"/>
      <c r="AD78" s="66"/>
      <c r="AE78" s="66"/>
      <c r="AF78" s="68"/>
      <c r="AG78" s="67"/>
      <c r="AH78" s="68"/>
      <c r="AI78" s="68"/>
      <c r="AJ78" s="77"/>
    </row>
    <row r="79" spans="1:36" ht="20.55" customHeight="1">
      <c r="A79" s="22"/>
      <c r="B79" s="75"/>
      <c r="C79" s="141"/>
      <c r="D79" s="146"/>
      <c r="E79" s="122"/>
      <c r="F79" s="122"/>
      <c r="G79" s="66"/>
      <c r="H79" s="122"/>
      <c r="I79" s="66"/>
      <c r="J79" s="66"/>
      <c r="K79" s="66"/>
      <c r="L79" s="70"/>
      <c r="M79" s="66"/>
      <c r="N79" s="66"/>
      <c r="O79" s="66"/>
      <c r="P79" s="131"/>
      <c r="Q79" s="122"/>
      <c r="R79" s="122"/>
      <c r="S79" s="66"/>
      <c r="T79" s="70"/>
      <c r="U79" s="122"/>
      <c r="V79" s="66"/>
      <c r="W79" s="66"/>
      <c r="X79" s="129"/>
      <c r="Y79" s="66"/>
      <c r="Z79" s="66"/>
      <c r="AA79" s="66"/>
      <c r="AB79" s="63"/>
      <c r="AC79" s="66"/>
      <c r="AD79" s="70"/>
      <c r="AE79" s="66"/>
      <c r="AF79" s="68"/>
      <c r="AG79" s="67"/>
      <c r="AH79" s="68"/>
      <c r="AI79" s="68"/>
      <c r="AJ79" s="77"/>
    </row>
    <row r="80" spans="1:36" s="8" customFormat="1" ht="22.2" customHeight="1">
      <c r="A80" s="19"/>
      <c r="B80" s="35"/>
      <c r="C80"/>
      <c r="D80" s="2"/>
      <c r="E80"/>
      <c r="F80"/>
      <c r="G80" s="26"/>
      <c r="H80" s="128"/>
      <c r="I80"/>
      <c r="J80"/>
      <c r="K80" s="26"/>
      <c r="L80"/>
      <c r="M80"/>
      <c r="N80" s="2"/>
      <c r="O80" s="26"/>
      <c r="P80" s="2"/>
      <c r="Q80"/>
      <c r="R80"/>
      <c r="S80" s="26"/>
      <c r="T80"/>
      <c r="U80"/>
      <c r="V80"/>
      <c r="W80" s="26"/>
      <c r="X80"/>
      <c r="Y80"/>
      <c r="Z80"/>
      <c r="AA80" s="26"/>
      <c r="AB80"/>
      <c r="AC80"/>
      <c r="AD80"/>
      <c r="AE80" s="26"/>
      <c r="AF80"/>
      <c r="AG80"/>
      <c r="AH80"/>
      <c r="AI80"/>
      <c r="AJ80"/>
    </row>
    <row r="81" spans="1:36" ht="20.55" customHeight="1"/>
    <row r="82" spans="1:36" s="8" customFormat="1" ht="20.55" customHeight="1">
      <c r="A82" s="19"/>
      <c r="B82" s="35"/>
      <c r="C82"/>
      <c r="D82" s="2"/>
      <c r="E82"/>
      <c r="F82"/>
      <c r="G82" s="26"/>
      <c r="H82"/>
      <c r="I82"/>
      <c r="J82"/>
      <c r="K82" s="26"/>
      <c r="L82"/>
      <c r="M82"/>
      <c r="N82" s="2"/>
      <c r="O82" s="26"/>
      <c r="P82" s="2"/>
      <c r="Q82"/>
      <c r="R82"/>
      <c r="S82" s="26"/>
      <c r="T82"/>
      <c r="U82"/>
      <c r="V82"/>
      <c r="W82" s="26"/>
      <c r="X82"/>
      <c r="Y82"/>
      <c r="Z82"/>
      <c r="AA82" s="26"/>
      <c r="AB82"/>
      <c r="AC82"/>
      <c r="AD82"/>
      <c r="AE82" s="26"/>
      <c r="AF82"/>
      <c r="AG82"/>
      <c r="AH82"/>
      <c r="AI82"/>
      <c r="AJ82"/>
    </row>
    <row r="83" spans="1:36" ht="20.55" customHeight="1"/>
    <row r="84" spans="1:36" s="8" customFormat="1" ht="20.55" customHeight="1">
      <c r="A84" s="19"/>
      <c r="B84" s="35"/>
      <c r="C84"/>
      <c r="D84" s="2"/>
      <c r="E84"/>
      <c r="F84"/>
      <c r="G84" s="26"/>
      <c r="H84"/>
      <c r="I84"/>
      <c r="J84"/>
      <c r="K84" s="26"/>
      <c r="L84"/>
      <c r="M84"/>
      <c r="N84" s="2"/>
      <c r="O84" s="26"/>
      <c r="P84" s="2"/>
      <c r="Q84"/>
      <c r="R84"/>
      <c r="S84" s="26"/>
      <c r="T84"/>
      <c r="U84"/>
      <c r="V84"/>
      <c r="W84" s="26"/>
      <c r="X84"/>
      <c r="Y84"/>
      <c r="Z84"/>
      <c r="AA84" s="26"/>
      <c r="AB84"/>
      <c r="AC84"/>
      <c r="AD84"/>
      <c r="AE84" s="26"/>
      <c r="AF84"/>
      <c r="AG84"/>
      <c r="AH84"/>
      <c r="AI84"/>
      <c r="AJ84"/>
    </row>
    <row r="85" spans="1:36" ht="20.55" customHeight="1"/>
    <row r="86" spans="1:36" s="8" customFormat="1" ht="20.55" customHeight="1">
      <c r="A86" s="19"/>
      <c r="B86" s="35"/>
      <c r="C86"/>
      <c r="D86" s="2"/>
      <c r="E86"/>
      <c r="F86"/>
      <c r="G86" s="26"/>
      <c r="H86"/>
      <c r="I86"/>
      <c r="J86"/>
      <c r="K86" s="26"/>
      <c r="L86"/>
      <c r="M86"/>
      <c r="N86" s="2"/>
      <c r="O86" s="26"/>
      <c r="P86" s="2"/>
      <c r="Q86"/>
      <c r="R86"/>
      <c r="S86" s="26"/>
      <c r="T86"/>
      <c r="U86"/>
      <c r="V86"/>
      <c r="W86" s="26"/>
      <c r="X86"/>
      <c r="Y86"/>
      <c r="Z86"/>
      <c r="AA86" s="26"/>
      <c r="AB86"/>
      <c r="AC86"/>
      <c r="AD86"/>
      <c r="AE86" s="26"/>
      <c r="AF86"/>
      <c r="AG86"/>
      <c r="AH86"/>
      <c r="AI86"/>
      <c r="AJ86"/>
    </row>
    <row r="87" spans="1:36" ht="20.55" customHeight="1"/>
    <row r="88" spans="1:36" s="8" customFormat="1" ht="20.55" customHeight="1">
      <c r="A88" s="19"/>
      <c r="B88" s="35"/>
      <c r="C88"/>
      <c r="D88" s="2"/>
      <c r="E88"/>
      <c r="F88"/>
      <c r="G88" s="26"/>
      <c r="H88"/>
      <c r="I88"/>
      <c r="J88"/>
      <c r="K88" s="26"/>
      <c r="L88"/>
      <c r="M88"/>
      <c r="N88" s="2"/>
      <c r="O88" s="26"/>
      <c r="P88" s="2"/>
      <c r="Q88"/>
      <c r="R88"/>
      <c r="S88" s="26"/>
      <c r="T88"/>
      <c r="U88"/>
      <c r="V88"/>
      <c r="W88" s="26"/>
      <c r="X88"/>
      <c r="Y88"/>
      <c r="Z88"/>
      <c r="AA88" s="26"/>
      <c r="AB88"/>
      <c r="AC88"/>
      <c r="AD88"/>
      <c r="AE88" s="26"/>
      <c r="AF88"/>
      <c r="AG88"/>
      <c r="AH88"/>
      <c r="AI88"/>
      <c r="AJ88"/>
    </row>
    <row r="89" spans="1:36" ht="20.55" customHeight="1"/>
    <row r="90" spans="1:36" s="8" customFormat="1" ht="20.55" customHeight="1">
      <c r="A90" s="19"/>
      <c r="B90" s="35"/>
      <c r="C90"/>
      <c r="D90" s="2"/>
      <c r="E90"/>
      <c r="F90"/>
      <c r="G90" s="26"/>
      <c r="H90"/>
      <c r="I90"/>
      <c r="J90"/>
      <c r="K90" s="26"/>
      <c r="L90"/>
      <c r="M90"/>
      <c r="N90" s="2"/>
      <c r="O90" s="26"/>
      <c r="P90" s="2"/>
      <c r="Q90"/>
      <c r="R90"/>
      <c r="S90" s="26"/>
      <c r="T90"/>
      <c r="U90"/>
      <c r="V90"/>
      <c r="W90" s="26"/>
      <c r="X90"/>
      <c r="Y90"/>
      <c r="Z90"/>
      <c r="AA90" s="26"/>
      <c r="AB90"/>
      <c r="AC90"/>
      <c r="AD90"/>
      <c r="AE90" s="26"/>
      <c r="AF90"/>
      <c r="AG90"/>
      <c r="AH90"/>
      <c r="AI90"/>
      <c r="AJ90"/>
    </row>
    <row r="91" spans="1:36" ht="20.55" customHeight="1"/>
    <row r="92" spans="1:36" s="8" customFormat="1" ht="20.5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3" spans="1:36" ht="20.55" customHeight="1"/>
    <row r="94" spans="1:36" s="8" customFormat="1" ht="20.55" customHeigh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5" customHeight="1"/>
    <row r="96" spans="1:36" s="8" customFormat="1" ht="20.5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0.55" customHeight="1"/>
    <row r="98" spans="1:36" s="8" customFormat="1" ht="20.55" customHeight="1">
      <c r="A98" s="19"/>
      <c r="B98" s="35"/>
      <c r="C98"/>
      <c r="D98" s="2"/>
      <c r="E98"/>
      <c r="F98"/>
      <c r="G98" s="26"/>
      <c r="H98"/>
      <c r="I98"/>
      <c r="J98"/>
      <c r="K98" s="26"/>
      <c r="L98"/>
      <c r="M98"/>
      <c r="N98" s="2"/>
      <c r="O98" s="26"/>
      <c r="P98" s="2"/>
      <c r="Q98"/>
      <c r="R98"/>
      <c r="S98" s="26"/>
      <c r="T98"/>
      <c r="U98"/>
      <c r="V98"/>
      <c r="W98" s="26"/>
      <c r="X98"/>
      <c r="Y98"/>
      <c r="Z98"/>
      <c r="AA98" s="26"/>
      <c r="AB98"/>
      <c r="AC98"/>
      <c r="AD98"/>
      <c r="AE98" s="26"/>
      <c r="AF98"/>
      <c r="AG98"/>
      <c r="AH98"/>
      <c r="AI98"/>
      <c r="AJ98"/>
    </row>
    <row r="99" spans="1:36" ht="20.55" customHeight="1"/>
    <row r="101" spans="1:36" s="9" customFormat="1" ht="19.2" customHeight="1">
      <c r="A101" s="19"/>
      <c r="B101" s="35"/>
      <c r="C101"/>
      <c r="D101" s="2"/>
      <c r="E101"/>
      <c r="F101"/>
      <c r="G101" s="26"/>
      <c r="H101"/>
      <c r="I101"/>
      <c r="J101"/>
      <c r="K101" s="26"/>
      <c r="L101"/>
      <c r="M101"/>
      <c r="N101" s="2"/>
      <c r="O101" s="26"/>
      <c r="P101" s="2"/>
      <c r="Q101"/>
      <c r="R101"/>
      <c r="S101" s="26"/>
      <c r="T101"/>
      <c r="U101"/>
      <c r="V101"/>
      <c r="W101" s="26"/>
      <c r="X101"/>
      <c r="Y101"/>
      <c r="Z101"/>
      <c r="AA101" s="26"/>
      <c r="AB101"/>
      <c r="AC101"/>
      <c r="AD101"/>
      <c r="AE101" s="26"/>
      <c r="AF101"/>
      <c r="AG101"/>
      <c r="AH101"/>
      <c r="AI101"/>
      <c r="AJ101"/>
    </row>
    <row r="103" spans="1:36" s="8" customFormat="1">
      <c r="A103" s="19"/>
      <c r="B103" s="35"/>
      <c r="C103"/>
      <c r="D103" s="2"/>
      <c r="E103"/>
      <c r="F103"/>
      <c r="G103" s="26"/>
      <c r="H103"/>
      <c r="I103"/>
      <c r="J103"/>
      <c r="K103" s="26"/>
      <c r="L103"/>
      <c r="M103"/>
      <c r="N103" s="2"/>
      <c r="O103" s="26"/>
      <c r="P103" s="2"/>
      <c r="Q103"/>
      <c r="R103"/>
      <c r="S103" s="26"/>
      <c r="T103"/>
      <c r="U103"/>
      <c r="V103"/>
      <c r="W103" s="26"/>
      <c r="X103"/>
      <c r="Y103"/>
      <c r="Z103"/>
      <c r="AA103" s="26"/>
      <c r="AB103"/>
      <c r="AC103"/>
      <c r="AD103"/>
      <c r="AE103" s="26"/>
      <c r="AF103"/>
      <c r="AG103"/>
      <c r="AH103"/>
      <c r="AI103"/>
      <c r="AJ103"/>
    </row>
    <row r="104" spans="1:36" ht="20.55" customHeight="1"/>
    <row r="105" spans="1:36" s="8" customFormat="1" ht="24.45" customHeight="1">
      <c r="A105" s="19"/>
      <c r="B105" s="35"/>
      <c r="C105"/>
      <c r="D105" s="2"/>
      <c r="E105"/>
      <c r="F105"/>
      <c r="G105" s="26"/>
      <c r="H105"/>
      <c r="I105"/>
      <c r="J105"/>
      <c r="K105" s="26"/>
      <c r="L105"/>
      <c r="M105"/>
      <c r="N105" s="2"/>
      <c r="O105" s="26"/>
      <c r="P105" s="2"/>
      <c r="Q105"/>
      <c r="R105"/>
      <c r="S105" s="26"/>
      <c r="T105"/>
      <c r="U105"/>
      <c r="V105"/>
      <c r="W105" s="26"/>
      <c r="X105"/>
      <c r="Y105"/>
      <c r="Z105"/>
      <c r="AA105" s="26"/>
      <c r="AB105"/>
      <c r="AC105"/>
      <c r="AD105"/>
      <c r="AE105" s="26"/>
      <c r="AF105"/>
      <c r="AG105"/>
      <c r="AH105"/>
      <c r="AI105"/>
      <c r="AJ105"/>
    </row>
    <row r="106" spans="1:36" ht="24.45" customHeight="1"/>
    <row r="107" spans="1:36" s="8" customFormat="1" ht="20.55" customHeight="1">
      <c r="A107" s="19"/>
      <c r="B107" s="35"/>
      <c r="C107"/>
      <c r="D107" s="2"/>
      <c r="E107"/>
      <c r="F107"/>
      <c r="G107" s="26"/>
      <c r="H107"/>
      <c r="I107"/>
      <c r="J107"/>
      <c r="K107" s="26"/>
      <c r="L107"/>
      <c r="M107"/>
      <c r="N107" s="2"/>
      <c r="O107" s="26"/>
      <c r="P107" s="2"/>
      <c r="Q107"/>
      <c r="R107"/>
      <c r="S107" s="26"/>
      <c r="T107"/>
      <c r="U107"/>
      <c r="V107"/>
      <c r="W107" s="26"/>
      <c r="X107"/>
      <c r="Y107"/>
      <c r="Z107"/>
      <c r="AA107" s="26"/>
      <c r="AB107"/>
      <c r="AC107"/>
      <c r="AD107"/>
      <c r="AE107" s="26"/>
      <c r="AF107"/>
      <c r="AG107"/>
      <c r="AH107"/>
      <c r="AI107"/>
      <c r="AJ107"/>
    </row>
    <row r="108" spans="1:36" ht="20.55" customHeight="1"/>
    <row r="109" spans="1:36" s="8" customFormat="1" ht="20.55" customHeight="1">
      <c r="A109" s="19"/>
      <c r="B109" s="35"/>
      <c r="C109"/>
      <c r="D109" s="2"/>
      <c r="E109"/>
      <c r="F109"/>
      <c r="G109" s="26"/>
      <c r="H109"/>
      <c r="I109"/>
      <c r="J109"/>
      <c r="K109" s="26"/>
      <c r="L109"/>
      <c r="M109"/>
      <c r="N109" s="2"/>
      <c r="O109" s="26"/>
      <c r="P109" s="2"/>
      <c r="Q109"/>
      <c r="R109"/>
      <c r="S109" s="26"/>
      <c r="T109"/>
      <c r="U109"/>
      <c r="V109"/>
      <c r="W109" s="26"/>
      <c r="X109"/>
      <c r="Y109"/>
      <c r="Z109"/>
      <c r="AA109" s="26"/>
      <c r="AB109"/>
      <c r="AC109"/>
      <c r="AD109"/>
      <c r="AE109" s="26"/>
      <c r="AF109"/>
      <c r="AG109"/>
      <c r="AH109"/>
      <c r="AI109"/>
      <c r="AJ109"/>
    </row>
    <row r="110" spans="1:36" ht="20.55" customHeight="1"/>
    <row r="111" spans="1:36" s="8" customFormat="1" ht="22.2" customHeight="1">
      <c r="A111" s="19"/>
      <c r="B111" s="35"/>
      <c r="C111"/>
      <c r="D111" s="2"/>
      <c r="E111"/>
      <c r="F111"/>
      <c r="G111" s="26"/>
      <c r="H111"/>
      <c r="I111"/>
      <c r="J111"/>
      <c r="K111" s="26"/>
      <c r="L111"/>
      <c r="M111"/>
      <c r="N111" s="2"/>
      <c r="O111" s="26"/>
      <c r="P111" s="2"/>
      <c r="Q111"/>
      <c r="R111"/>
      <c r="S111" s="26"/>
      <c r="T111"/>
      <c r="U111"/>
      <c r="V111"/>
      <c r="W111" s="26"/>
      <c r="X111"/>
      <c r="Y111"/>
      <c r="Z111"/>
      <c r="AA111" s="26"/>
      <c r="AB111"/>
      <c r="AC111"/>
      <c r="AD111"/>
      <c r="AE111" s="26"/>
      <c r="AF111"/>
      <c r="AG111"/>
      <c r="AH111"/>
      <c r="AI111"/>
      <c r="AJ111"/>
    </row>
    <row r="112" spans="1:36" ht="20.55" customHeight="1"/>
    <row r="113" spans="1:36" s="8" customFormat="1" ht="20.55" customHeight="1">
      <c r="A113" s="19"/>
      <c r="B113" s="35"/>
      <c r="C113"/>
      <c r="D113" s="2"/>
      <c r="E113"/>
      <c r="F113"/>
      <c r="G113" s="26"/>
      <c r="H113"/>
      <c r="I113"/>
      <c r="J113"/>
      <c r="K113" s="26"/>
      <c r="L113"/>
      <c r="M113"/>
      <c r="N113" s="2"/>
      <c r="O113" s="26"/>
      <c r="P113" s="2"/>
      <c r="Q113"/>
      <c r="R113"/>
      <c r="S113" s="26"/>
      <c r="T113"/>
      <c r="U113"/>
      <c r="V113"/>
      <c r="W113" s="26"/>
      <c r="X113"/>
      <c r="Y113"/>
      <c r="Z113"/>
      <c r="AA113" s="26"/>
      <c r="AB113"/>
      <c r="AC113"/>
      <c r="AD113"/>
      <c r="AE113" s="26"/>
      <c r="AF113"/>
      <c r="AG113"/>
      <c r="AH113"/>
      <c r="AI113"/>
      <c r="AJ113"/>
    </row>
    <row r="114" spans="1:36" ht="20.55" customHeight="1"/>
    <row r="115" spans="1:36" s="8" customFormat="1" ht="20.55" customHeight="1">
      <c r="A115" s="19"/>
      <c r="B115" s="35"/>
      <c r="C115"/>
      <c r="D115" s="2"/>
      <c r="E115"/>
      <c r="F115"/>
      <c r="G115" s="26"/>
      <c r="H115"/>
      <c r="I115"/>
      <c r="J115"/>
      <c r="K115" s="26"/>
      <c r="L115"/>
      <c r="M115"/>
      <c r="N115" s="2"/>
      <c r="O115" s="26"/>
      <c r="P115" s="2"/>
      <c r="Q115"/>
      <c r="R115"/>
      <c r="S115" s="26"/>
      <c r="T115"/>
      <c r="U115"/>
      <c r="V115"/>
      <c r="W115" s="26"/>
      <c r="X115"/>
      <c r="Y115"/>
      <c r="Z115"/>
      <c r="AA115" s="26"/>
      <c r="AB115"/>
      <c r="AC115"/>
      <c r="AD115"/>
      <c r="AE115" s="26"/>
      <c r="AF115"/>
      <c r="AG115"/>
      <c r="AH115"/>
      <c r="AI115"/>
      <c r="AJ115"/>
    </row>
    <row r="116" spans="1:36" ht="20.55" customHeight="1"/>
    <row r="117" spans="1:36" s="8" customFormat="1" ht="20.55" customHeight="1">
      <c r="A117" s="19"/>
      <c r="B117" s="35"/>
      <c r="C117"/>
      <c r="D117" s="2"/>
      <c r="E117"/>
      <c r="F117"/>
      <c r="G117" s="26"/>
      <c r="H117"/>
      <c r="I117"/>
      <c r="J117"/>
      <c r="K117" s="26"/>
      <c r="L117"/>
      <c r="M117"/>
      <c r="N117" s="2"/>
      <c r="O117" s="26"/>
      <c r="P117" s="2"/>
      <c r="Q117"/>
      <c r="R117"/>
      <c r="S117" s="26"/>
      <c r="T117"/>
      <c r="U117"/>
      <c r="V117"/>
      <c r="W117" s="26"/>
      <c r="X117"/>
      <c r="Y117"/>
      <c r="Z117"/>
      <c r="AA117" s="26"/>
      <c r="AB117"/>
      <c r="AC117"/>
      <c r="AD117"/>
      <c r="AE117" s="26"/>
      <c r="AF117"/>
      <c r="AG117"/>
      <c r="AH117"/>
      <c r="AI117"/>
      <c r="AJ117"/>
    </row>
    <row r="118" spans="1:36" ht="20.55" customHeight="1"/>
    <row r="119" spans="1:36" s="8" customFormat="1" ht="20.55" customHeight="1">
      <c r="A119" s="19"/>
      <c r="B119" s="35"/>
      <c r="C119"/>
      <c r="D119" s="2"/>
      <c r="E119"/>
      <c r="F119"/>
      <c r="G119" s="26"/>
      <c r="H119"/>
      <c r="I119"/>
      <c r="J119"/>
      <c r="K119" s="26"/>
      <c r="L119"/>
      <c r="M119"/>
      <c r="N119" s="2"/>
      <c r="O119" s="26"/>
      <c r="P119" s="2"/>
      <c r="Q119"/>
      <c r="R119"/>
      <c r="S119" s="26"/>
      <c r="T119"/>
      <c r="U119"/>
      <c r="V119"/>
      <c r="W119" s="26"/>
      <c r="X119"/>
      <c r="Y119"/>
      <c r="Z119"/>
      <c r="AA119" s="26"/>
      <c r="AB119"/>
      <c r="AC119"/>
      <c r="AD119"/>
      <c r="AE119" s="26"/>
      <c r="AF119"/>
      <c r="AG119"/>
      <c r="AH119"/>
      <c r="AI119"/>
      <c r="AJ119"/>
    </row>
  </sheetData>
  <autoFilter ref="A1:AJ79" xr:uid="{83CF93B3-C431-49F1-A590-E27AEBEF8623}"/>
  <sortState xmlns:xlrd2="http://schemas.microsoft.com/office/spreadsheetml/2017/richdata2" ref="A2:AJ120">
    <sortCondition descending="1" ref="AI2:AI120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7006-8744-4784-B335-BB3594C91E5F}">
  <dimension ref="A1"/>
  <sheetViews>
    <sheetView workbookViewId="0"/>
  </sheetViews>
  <sheetFormatPr defaultColWidth="8.77734375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E5E-816A-4B9D-B88F-8416970D153E}">
  <dimension ref="A1:AJ58"/>
  <sheetViews>
    <sheetView view="pageBreakPreview" zoomScale="89" zoomScaleNormal="100" zoomScaleSheetLayoutView="89" workbookViewId="0">
      <pane ySplit="1" topLeftCell="A2" activePane="bottomLeft" state="frozen"/>
      <selection activeCell="AD1" sqref="AD1"/>
      <selection pane="bottomLeft" activeCell="AJ2" sqref="AJ2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bestFit="1" customWidth="1"/>
    <col min="7" max="7" width="9.77734375" style="26" customWidth="1"/>
    <col min="8" max="8" width="11.44140625" customWidth="1"/>
    <col min="9" max="9" width="15.6640625" customWidth="1"/>
    <col min="10" max="10" width="14" bestFit="1" customWidth="1"/>
    <col min="11" max="11" width="18.109375" style="26" bestFit="1" customWidth="1"/>
    <col min="12" max="12" width="12.33203125" bestFit="1" customWidth="1"/>
    <col min="13" max="13" width="11.44140625" bestFit="1" customWidth="1"/>
    <col min="14" max="14" width="14" style="2" bestFit="1" customWidth="1"/>
    <col min="15" max="15" width="11.44140625" style="26" customWidth="1"/>
    <col min="16" max="16" width="9.6640625" style="2" bestFit="1" customWidth="1"/>
    <col min="17" max="17" width="11.44140625" bestFit="1" customWidth="1"/>
    <col min="18" max="18" width="14" bestFit="1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36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8" customFormat="1">
      <c r="A2" s="20" t="s">
        <v>56</v>
      </c>
      <c r="B2" s="75" t="s">
        <v>145</v>
      </c>
      <c r="C2" s="88" t="s">
        <v>146</v>
      </c>
      <c r="D2" s="169" t="s">
        <v>147</v>
      </c>
      <c r="E2" s="122">
        <v>0.40902777777777777</v>
      </c>
      <c r="F2" s="122">
        <v>0.41180555555555554</v>
      </c>
      <c r="G2" s="66">
        <f t="shared" ref="G2:G17" si="0">SUM(F2-E2)</f>
        <v>2.7777777777777679E-3</v>
      </c>
      <c r="H2" s="121">
        <f>A2+107.81/1440</f>
        <v>940.07486805555561</v>
      </c>
      <c r="I2" s="66">
        <v>0.43472222222222223</v>
      </c>
      <c r="J2" s="66">
        <v>0.43888888888888888</v>
      </c>
      <c r="K2" s="66">
        <f t="shared" ref="K2:K18" si="1">SUM(J2-I2)</f>
        <v>4.1666666666666519E-3</v>
      </c>
      <c r="L2" s="159" t="e">
        <f>#REF!+58.99/1440</f>
        <v>#REF!</v>
      </c>
      <c r="M2" s="66">
        <v>0.4548611111111111</v>
      </c>
      <c r="N2" s="66">
        <v>0.46111111111111108</v>
      </c>
      <c r="O2" s="66">
        <f t="shared" ref="O2:O18" si="2">SUM(N2-M2)</f>
        <v>6.2499999999999778E-3</v>
      </c>
      <c r="P2" s="158">
        <f>A2+145.44/1440</f>
        <v>940.101</v>
      </c>
      <c r="Q2" s="122">
        <v>0.49305555555555558</v>
      </c>
      <c r="R2" s="122">
        <v>0.49722222222222223</v>
      </c>
      <c r="S2" s="66">
        <f t="shared" ref="S2:S18" si="3">SUM(R2-Q2)</f>
        <v>4.1666666666666519E-3</v>
      </c>
      <c r="T2" s="159">
        <f>A2+99.57/1440</f>
        <v>940.06914583333332</v>
      </c>
      <c r="U2" s="122">
        <v>0.52708333333333335</v>
      </c>
      <c r="V2" s="66">
        <v>0.52916666666666667</v>
      </c>
      <c r="W2" s="66">
        <f t="shared" ref="W2:W18" si="4">SUM(V2-U2)</f>
        <v>2.0833333333333259E-3</v>
      </c>
      <c r="X2" s="160">
        <v>63.99</v>
      </c>
      <c r="Y2" s="66">
        <v>0.53333333333333333</v>
      </c>
      <c r="Z2" s="66">
        <v>0.5395833333333333</v>
      </c>
      <c r="AA2" s="66">
        <f t="shared" ref="AA2:AA18" si="5">SUM(Z2-Y2)</f>
        <v>6.2499999999999778E-3</v>
      </c>
      <c r="AB2" s="63">
        <v>5</v>
      </c>
      <c r="AC2" s="66">
        <v>0.54305555555555551</v>
      </c>
      <c r="AD2" s="66">
        <v>0.54375000000000007</v>
      </c>
      <c r="AE2" s="66">
        <f t="shared" ref="AE2:AE18" si="6">SUM(AD2-AC2)</f>
        <v>6.94444444444553E-4</v>
      </c>
      <c r="AF2" s="68">
        <f t="shared" ref="AF2:AF18" si="7">SUM(G2+K2+O2+S2+W2+AA2+AE2)</f>
        <v>2.6388888888888906E-2</v>
      </c>
      <c r="AG2" s="67" t="e">
        <f t="shared" ref="AG2:AG18" si="8">SUM(H2+L2+P2+T2+X2-AB2)</f>
        <v>#REF!</v>
      </c>
      <c r="AH2" s="68" t="e">
        <f t="shared" ref="AH2:AH18" si="9">AG2/85400</f>
        <v>#REF!</v>
      </c>
      <c r="AI2" s="68" t="e">
        <f t="shared" ref="AI2:AI18" si="10">SUM(AF2+AH2)</f>
        <v>#REF!</v>
      </c>
      <c r="AJ2" s="77"/>
    </row>
    <row r="3" spans="1:36" ht="20.55" customHeight="1">
      <c r="A3" s="21" t="s">
        <v>99</v>
      </c>
      <c r="B3" s="75" t="s">
        <v>148</v>
      </c>
      <c r="C3" s="88" t="s">
        <v>149</v>
      </c>
      <c r="D3" s="89" t="s">
        <v>147</v>
      </c>
      <c r="E3" s="122">
        <v>0.42708333333333331</v>
      </c>
      <c r="F3" s="122">
        <v>0.4291666666666667</v>
      </c>
      <c r="G3" s="66">
        <f t="shared" si="0"/>
        <v>2.0833333333333814E-3</v>
      </c>
      <c r="H3" s="124">
        <f>A3+180/1440</f>
        <v>1120.125</v>
      </c>
      <c r="I3" s="66">
        <v>0.4597222222222222</v>
      </c>
      <c r="J3" s="66">
        <v>0.46388888888888885</v>
      </c>
      <c r="K3" s="66">
        <f t="shared" si="1"/>
        <v>4.1666666666666519E-3</v>
      </c>
      <c r="L3" s="131">
        <v>180</v>
      </c>
      <c r="M3" s="66">
        <v>0.47986111111111113</v>
      </c>
      <c r="N3" s="66">
        <v>0.48472222222222222</v>
      </c>
      <c r="O3" s="66">
        <f t="shared" si="2"/>
        <v>4.8611111111110938E-3</v>
      </c>
      <c r="P3" s="131">
        <v>199</v>
      </c>
      <c r="Q3" s="122">
        <v>0.52569444444444446</v>
      </c>
      <c r="R3" s="122">
        <v>0.52986111111111112</v>
      </c>
      <c r="S3" s="66">
        <f t="shared" si="3"/>
        <v>4.1666666666666519E-3</v>
      </c>
      <c r="T3" s="70">
        <f>A3+180/1440</f>
        <v>1120.125</v>
      </c>
      <c r="U3" s="122">
        <v>0.56388888888888888</v>
      </c>
      <c r="V3" s="66">
        <v>0.56805555555555554</v>
      </c>
      <c r="W3" s="66">
        <f t="shared" si="4"/>
        <v>4.1666666666666519E-3</v>
      </c>
      <c r="X3" s="129">
        <v>144.09</v>
      </c>
      <c r="Y3" s="66">
        <v>0.57638888888888895</v>
      </c>
      <c r="Z3" s="66">
        <v>0.58472222222222225</v>
      </c>
      <c r="AA3" s="66">
        <f t="shared" si="5"/>
        <v>8.3333333333333037E-3</v>
      </c>
      <c r="AB3" s="63"/>
      <c r="AC3" s="66">
        <v>0.58958333333333335</v>
      </c>
      <c r="AD3" s="66">
        <v>0.58958333333333335</v>
      </c>
      <c r="AE3" s="66">
        <f t="shared" si="6"/>
        <v>0</v>
      </c>
      <c r="AF3" s="68">
        <f t="shared" si="7"/>
        <v>2.7777777777777735E-2</v>
      </c>
      <c r="AG3" s="67">
        <f t="shared" si="8"/>
        <v>2763.34</v>
      </c>
      <c r="AH3" s="68">
        <f t="shared" si="9"/>
        <v>3.2357611241217797E-2</v>
      </c>
      <c r="AI3" s="68">
        <f t="shared" si="10"/>
        <v>6.0135389018995532E-2</v>
      </c>
      <c r="AJ3" s="77"/>
    </row>
    <row r="4" spans="1:36" s="8" customFormat="1" ht="24.45" customHeight="1">
      <c r="A4" s="23" t="s">
        <v>41</v>
      </c>
      <c r="B4" s="75" t="s">
        <v>150</v>
      </c>
      <c r="C4" s="78" t="s">
        <v>151</v>
      </c>
      <c r="D4" s="80" t="s">
        <v>152</v>
      </c>
      <c r="E4" s="122">
        <v>0.40138888888888885</v>
      </c>
      <c r="F4" s="122">
        <v>0.40416666666666662</v>
      </c>
      <c r="G4" s="66">
        <f t="shared" si="0"/>
        <v>2.7777777777777679E-3</v>
      </c>
      <c r="H4" s="121">
        <f>A4+142/1440</f>
        <v>840.09861111111115</v>
      </c>
      <c r="I4" s="66">
        <v>0.41805555555555557</v>
      </c>
      <c r="J4" s="66">
        <v>0.42291666666666666</v>
      </c>
      <c r="K4" s="66">
        <f t="shared" si="1"/>
        <v>4.8611111111110938E-3</v>
      </c>
      <c r="L4" s="70">
        <f>A3+179/1440</f>
        <v>1120.1243055555556</v>
      </c>
      <c r="M4" s="66">
        <v>0.44097222222222227</v>
      </c>
      <c r="N4" s="66">
        <v>0.4465277777777778</v>
      </c>
      <c r="O4" s="66">
        <f t="shared" si="2"/>
        <v>5.5555555555555358E-3</v>
      </c>
      <c r="P4" s="131">
        <v>199</v>
      </c>
      <c r="Q4" s="122">
        <v>0.47500000000000003</v>
      </c>
      <c r="R4" s="122">
        <v>0.48125000000000001</v>
      </c>
      <c r="S4" s="66">
        <f t="shared" si="3"/>
        <v>6.2499999999999778E-3</v>
      </c>
      <c r="T4" s="131">
        <v>180</v>
      </c>
      <c r="U4" s="122">
        <v>0.50486111111111109</v>
      </c>
      <c r="V4" s="66">
        <v>0.50972222222222219</v>
      </c>
      <c r="W4" s="66">
        <f t="shared" si="4"/>
        <v>4.8611111111110938E-3</v>
      </c>
      <c r="X4" s="129">
        <v>82.58</v>
      </c>
      <c r="Y4" s="66">
        <v>0.51527777777777783</v>
      </c>
      <c r="Z4" s="66">
        <v>0.52847222222222223</v>
      </c>
      <c r="AA4" s="66">
        <f t="shared" si="5"/>
        <v>1.3194444444444398E-2</v>
      </c>
      <c r="AB4" s="63"/>
      <c r="AC4" s="66">
        <v>0.53541666666666665</v>
      </c>
      <c r="AD4" s="66">
        <v>0.53611111111111109</v>
      </c>
      <c r="AE4" s="66">
        <f t="shared" si="6"/>
        <v>6.9444444444444198E-4</v>
      </c>
      <c r="AF4" s="68">
        <f t="shared" si="7"/>
        <v>3.8194444444444309E-2</v>
      </c>
      <c r="AG4" s="67">
        <f t="shared" si="8"/>
        <v>2421.8029166666665</v>
      </c>
      <c r="AH4" s="68">
        <f t="shared" si="9"/>
        <v>2.8358347970335675E-2</v>
      </c>
      <c r="AI4" s="68">
        <f t="shared" si="10"/>
        <v>6.6552792414779988E-2</v>
      </c>
      <c r="AJ4" s="77"/>
    </row>
    <row r="5" spans="1:36" ht="24.45" customHeight="1">
      <c r="A5" s="22" t="s">
        <v>74</v>
      </c>
      <c r="B5" s="75" t="s">
        <v>153</v>
      </c>
      <c r="C5" s="78" t="s">
        <v>154</v>
      </c>
      <c r="D5" s="80" t="s">
        <v>152</v>
      </c>
      <c r="E5" s="122">
        <v>0.42708333333333331</v>
      </c>
      <c r="F5" s="122">
        <v>0.4284722222222222</v>
      </c>
      <c r="G5" s="66">
        <f t="shared" si="0"/>
        <v>1.388888888888884E-3</v>
      </c>
      <c r="H5" s="121">
        <f>A5+120.64/1440</f>
        <v>1020.0837777777778</v>
      </c>
      <c r="I5" s="66">
        <v>0.44791666666666669</v>
      </c>
      <c r="J5" s="66">
        <v>0.45208333333333334</v>
      </c>
      <c r="K5" s="66">
        <f t="shared" si="1"/>
        <v>4.1666666666666519E-3</v>
      </c>
      <c r="L5" s="70">
        <f>A4+72.9/1440</f>
        <v>840.05062499999997</v>
      </c>
      <c r="M5" s="66">
        <v>0.47013888888888888</v>
      </c>
      <c r="N5" s="66">
        <v>0.47361111111111115</v>
      </c>
      <c r="O5" s="66">
        <f t="shared" si="2"/>
        <v>3.4722222222222654E-3</v>
      </c>
      <c r="P5" s="121">
        <f>A5+183/1440</f>
        <v>1020.1270833333333</v>
      </c>
      <c r="Q5" s="122">
        <v>0.51180555555555551</v>
      </c>
      <c r="R5" s="122">
        <v>0.51597222222222217</v>
      </c>
      <c r="S5" s="66">
        <f t="shared" si="3"/>
        <v>4.1666666666666519E-3</v>
      </c>
      <c r="T5" s="70">
        <f>A5+170.92/1440</f>
        <v>1020.1186944444445</v>
      </c>
      <c r="U5" s="122">
        <v>0.54652777777777783</v>
      </c>
      <c r="V5" s="66">
        <v>0.54861111111111105</v>
      </c>
      <c r="W5" s="66">
        <f t="shared" si="4"/>
        <v>2.0833333333332149E-3</v>
      </c>
      <c r="X5" s="129">
        <v>87.6</v>
      </c>
      <c r="Y5" s="66">
        <v>0.56388888888888888</v>
      </c>
      <c r="Z5" s="66">
        <v>0.56944444444444442</v>
      </c>
      <c r="AA5" s="66">
        <f t="shared" si="5"/>
        <v>5.5555555555555358E-3</v>
      </c>
      <c r="AB5" s="63"/>
      <c r="AC5" s="66">
        <v>0.57500000000000007</v>
      </c>
      <c r="AD5" s="66">
        <v>0.57500000000000007</v>
      </c>
      <c r="AE5" s="66">
        <f t="shared" si="6"/>
        <v>0</v>
      </c>
      <c r="AF5" s="68">
        <f t="shared" si="7"/>
        <v>2.0833333333333204E-2</v>
      </c>
      <c r="AG5" s="67">
        <f t="shared" si="8"/>
        <v>3987.9801805555553</v>
      </c>
      <c r="AH5" s="68">
        <f t="shared" si="9"/>
        <v>4.6697660193858959E-2</v>
      </c>
      <c r="AI5" s="68">
        <f t="shared" si="10"/>
        <v>6.7530993527192162E-2</v>
      </c>
      <c r="AJ5" s="77"/>
    </row>
    <row r="6" spans="1:36" s="8" customFormat="1" ht="20.55" customHeight="1">
      <c r="A6" s="23" t="s">
        <v>41</v>
      </c>
      <c r="B6" s="75" t="s">
        <v>155</v>
      </c>
      <c r="C6" s="78" t="s">
        <v>156</v>
      </c>
      <c r="D6" s="80" t="s">
        <v>152</v>
      </c>
      <c r="E6" s="122">
        <v>0.40069444444444446</v>
      </c>
      <c r="F6" s="122">
        <v>0.40347222222222223</v>
      </c>
      <c r="G6" s="66">
        <f t="shared" si="0"/>
        <v>2.7777777777777679E-3</v>
      </c>
      <c r="H6" s="121">
        <f>A6+113.62/1440</f>
        <v>840.07890277777778</v>
      </c>
      <c r="I6" s="66">
        <v>0.42499999999999999</v>
      </c>
      <c r="J6" s="66">
        <v>0.4291666666666667</v>
      </c>
      <c r="K6" s="66">
        <f t="shared" si="1"/>
        <v>4.1666666666667074E-3</v>
      </c>
      <c r="L6" s="70">
        <f>A5+73.44/1440</f>
        <v>1020.051</v>
      </c>
      <c r="M6" s="66">
        <v>0.44722222222222219</v>
      </c>
      <c r="N6" s="66">
        <v>0.4513888888888889</v>
      </c>
      <c r="O6" s="66">
        <f t="shared" si="2"/>
        <v>4.1666666666667074E-3</v>
      </c>
      <c r="P6" s="122">
        <f>A6+156.98/1440</f>
        <v>840.10901388888885</v>
      </c>
      <c r="Q6" s="122">
        <v>0.48125000000000001</v>
      </c>
      <c r="R6" s="122">
        <v>0.4861111111111111</v>
      </c>
      <c r="S6" s="66">
        <f t="shared" si="3"/>
        <v>4.8611111111110938E-3</v>
      </c>
      <c r="T6" s="70">
        <f>A6+159.35/1440</f>
        <v>840.11065972222218</v>
      </c>
      <c r="U6" s="122">
        <v>0.51388888888888895</v>
      </c>
      <c r="V6" s="66">
        <v>0.51666666666666672</v>
      </c>
      <c r="W6" s="66">
        <f t="shared" si="4"/>
        <v>2.7777777777777679E-3</v>
      </c>
      <c r="X6" s="129">
        <v>73.7</v>
      </c>
      <c r="Y6" s="66">
        <v>0.5229166666666667</v>
      </c>
      <c r="Z6" s="66">
        <v>0.53125</v>
      </c>
      <c r="AA6" s="66">
        <f t="shared" si="5"/>
        <v>8.3333333333333037E-3</v>
      </c>
      <c r="AB6" s="63">
        <v>5</v>
      </c>
      <c r="AC6" s="66">
        <v>0.53541666666666665</v>
      </c>
      <c r="AD6" s="66">
        <v>0.53611111111111109</v>
      </c>
      <c r="AE6" s="66">
        <f t="shared" si="6"/>
        <v>6.9444444444444198E-4</v>
      </c>
      <c r="AF6" s="68">
        <f t="shared" si="7"/>
        <v>2.777777777777779E-2</v>
      </c>
      <c r="AG6" s="67">
        <f t="shared" si="8"/>
        <v>3609.0495763888885</v>
      </c>
      <c r="AH6" s="68">
        <f t="shared" si="9"/>
        <v>4.2260533681368714E-2</v>
      </c>
      <c r="AI6" s="68">
        <f t="shared" si="10"/>
        <v>7.0038311459146504E-2</v>
      </c>
      <c r="AJ6" s="77"/>
    </row>
    <row r="7" spans="1:36" ht="20.55" customHeight="1">
      <c r="A7" s="21" t="s">
        <v>49</v>
      </c>
      <c r="B7" s="75" t="s">
        <v>157</v>
      </c>
      <c r="C7" s="78" t="s">
        <v>158</v>
      </c>
      <c r="D7" s="80" t="s">
        <v>147</v>
      </c>
      <c r="E7" s="122">
        <v>0.40069444444444446</v>
      </c>
      <c r="F7" s="122">
        <v>0.40347222222222223</v>
      </c>
      <c r="G7" s="66">
        <f t="shared" si="0"/>
        <v>2.7777777777777679E-3</v>
      </c>
      <c r="H7" s="121">
        <f>A7+180/1440</f>
        <v>920.125</v>
      </c>
      <c r="I7" s="66">
        <v>0.42222222222222222</v>
      </c>
      <c r="J7" s="66">
        <v>0.4284722222222222</v>
      </c>
      <c r="K7" s="66">
        <f t="shared" si="1"/>
        <v>6.2499999999999778E-3</v>
      </c>
      <c r="L7" s="70">
        <f>A6+123.52/1440</f>
        <v>840.08577777777782</v>
      </c>
      <c r="M7" s="66">
        <v>0.44444444444444442</v>
      </c>
      <c r="N7" s="66">
        <v>0.44930555555555557</v>
      </c>
      <c r="O7" s="66">
        <f t="shared" si="2"/>
        <v>4.8611111111111494E-3</v>
      </c>
      <c r="P7" s="131">
        <v>199</v>
      </c>
      <c r="Q7" s="122">
        <v>0.47847222222222219</v>
      </c>
      <c r="R7" s="122">
        <v>0.48541666666666666</v>
      </c>
      <c r="S7" s="66">
        <f t="shared" si="3"/>
        <v>6.9444444444444753E-3</v>
      </c>
      <c r="T7" s="131">
        <v>180</v>
      </c>
      <c r="U7" s="122">
        <v>0.50972222222222219</v>
      </c>
      <c r="V7" s="66">
        <v>0.51527777777777783</v>
      </c>
      <c r="W7" s="66">
        <f t="shared" si="4"/>
        <v>5.5555555555556468E-3</v>
      </c>
      <c r="X7" s="129">
        <v>96.57</v>
      </c>
      <c r="Y7" s="66">
        <v>0.51874999999999993</v>
      </c>
      <c r="Z7" s="66">
        <v>0.53125</v>
      </c>
      <c r="AA7" s="66">
        <f t="shared" si="5"/>
        <v>1.2500000000000067E-2</v>
      </c>
      <c r="AB7" s="63">
        <v>5</v>
      </c>
      <c r="AC7" s="66">
        <v>0.53541666666666665</v>
      </c>
      <c r="AD7" s="66">
        <v>0.53611111111111109</v>
      </c>
      <c r="AE7" s="66">
        <f t="shared" si="6"/>
        <v>6.9444444444444198E-4</v>
      </c>
      <c r="AF7" s="68">
        <f t="shared" si="7"/>
        <v>3.9583333333333526E-2</v>
      </c>
      <c r="AG7" s="67">
        <f t="shared" si="8"/>
        <v>2230.780777777778</v>
      </c>
      <c r="AH7" s="68">
        <f t="shared" si="9"/>
        <v>2.6121554774915432E-2</v>
      </c>
      <c r="AI7" s="68">
        <f t="shared" si="10"/>
        <v>6.5704888108248954E-2</v>
      </c>
      <c r="AJ7" s="77"/>
    </row>
    <row r="8" spans="1:36" ht="24.45" customHeight="1">
      <c r="A8" s="22" t="s">
        <v>36</v>
      </c>
      <c r="B8" s="75" t="s">
        <v>159</v>
      </c>
      <c r="C8" s="60" t="s">
        <v>160</v>
      </c>
      <c r="D8" s="148" t="s">
        <v>147</v>
      </c>
      <c r="E8" s="122">
        <v>0.34791666666666665</v>
      </c>
      <c r="F8" s="122">
        <v>0.34930555555555554</v>
      </c>
      <c r="G8" s="66">
        <f t="shared" si="0"/>
        <v>1.388888888888884E-3</v>
      </c>
      <c r="H8" s="121">
        <f>A8+107.82/1440</f>
        <v>820.07487500000002</v>
      </c>
      <c r="I8" s="66">
        <v>0.37916666666666665</v>
      </c>
      <c r="J8" s="66">
        <v>0.3833333333333333</v>
      </c>
      <c r="K8" s="66">
        <f t="shared" si="1"/>
        <v>4.1666666666666519E-3</v>
      </c>
      <c r="L8" s="70">
        <f>A7+65.75/1440</f>
        <v>920.04565972222224</v>
      </c>
      <c r="M8" s="66">
        <v>0.39930555555555558</v>
      </c>
      <c r="N8" s="66">
        <v>0.40416666666666662</v>
      </c>
      <c r="O8" s="66">
        <f t="shared" si="2"/>
        <v>4.8611111111110383E-3</v>
      </c>
      <c r="P8" s="122">
        <f>A8+164.13/1440</f>
        <v>820.1139791666667</v>
      </c>
      <c r="Q8" s="122">
        <v>0.42777777777777781</v>
      </c>
      <c r="R8" s="122">
        <v>0.43263888888888885</v>
      </c>
      <c r="S8" s="66">
        <f t="shared" si="3"/>
        <v>4.8611111111110383E-3</v>
      </c>
      <c r="T8" s="70">
        <f>A8+129.71/1440</f>
        <v>820.09007638888886</v>
      </c>
      <c r="U8" s="122">
        <v>0.44791666666666669</v>
      </c>
      <c r="V8" s="66">
        <v>0.45069444444444445</v>
      </c>
      <c r="W8" s="66">
        <f t="shared" si="4"/>
        <v>2.7777777777777679E-3</v>
      </c>
      <c r="X8" s="129">
        <v>68.650000000000006</v>
      </c>
      <c r="Y8" s="66">
        <v>0.46111111111111108</v>
      </c>
      <c r="Z8" s="66">
        <v>0.4680555555555555</v>
      </c>
      <c r="AA8" s="66">
        <f t="shared" si="5"/>
        <v>6.9444444444444198E-3</v>
      </c>
      <c r="AB8" s="63">
        <v>5</v>
      </c>
      <c r="AC8" s="66">
        <v>0.47222222222222227</v>
      </c>
      <c r="AD8" s="66">
        <v>0.47291666666666665</v>
      </c>
      <c r="AE8" s="66">
        <f t="shared" si="6"/>
        <v>6.9444444444438647E-4</v>
      </c>
      <c r="AF8" s="68">
        <f t="shared" si="7"/>
        <v>2.5694444444444187E-2</v>
      </c>
      <c r="AG8" s="67">
        <f t="shared" si="8"/>
        <v>3443.9745902777777</v>
      </c>
      <c r="AH8" s="68">
        <f t="shared" si="9"/>
        <v>4.0327571314728076E-2</v>
      </c>
      <c r="AI8" s="68">
        <f t="shared" si="10"/>
        <v>6.602201575917227E-2</v>
      </c>
      <c r="AJ8" s="77"/>
    </row>
    <row r="9" spans="1:36" s="9" customFormat="1" ht="19.2" customHeight="1">
      <c r="A9" s="21" t="s">
        <v>161</v>
      </c>
      <c r="B9" s="98" t="s">
        <v>162</v>
      </c>
      <c r="C9" s="167" t="s">
        <v>163</v>
      </c>
      <c r="D9" s="168" t="s">
        <v>147</v>
      </c>
      <c r="E9" s="122">
        <v>0.57638888888888895</v>
      </c>
      <c r="F9" s="122">
        <v>0.57777777777777783</v>
      </c>
      <c r="G9" s="66">
        <f t="shared" si="0"/>
        <v>1.388888888888884E-3</v>
      </c>
      <c r="H9" s="124">
        <f>A9+136.29/1440</f>
        <v>1500.0946458333333</v>
      </c>
      <c r="I9" s="66">
        <v>0.60069444444444442</v>
      </c>
      <c r="J9" s="66">
        <v>0.60486111111111118</v>
      </c>
      <c r="K9" s="66">
        <f t="shared" si="1"/>
        <v>4.1666666666667629E-3</v>
      </c>
      <c r="L9" s="70">
        <f>A8+94.06/1440</f>
        <v>820.06531944444441</v>
      </c>
      <c r="M9" s="66">
        <v>0.61319444444444449</v>
      </c>
      <c r="N9" s="66">
        <v>0.61736111111111114</v>
      </c>
      <c r="O9" s="66">
        <f t="shared" si="2"/>
        <v>4.1666666666666519E-3</v>
      </c>
      <c r="P9" s="131">
        <v>199</v>
      </c>
      <c r="Q9" s="122">
        <v>0.62847222222222221</v>
      </c>
      <c r="R9" s="122">
        <v>0.63541666666666663</v>
      </c>
      <c r="S9" s="66">
        <f t="shared" si="3"/>
        <v>6.9444444444444198E-3</v>
      </c>
      <c r="T9" s="70">
        <f>A9+177.8/1440</f>
        <v>1500.1234722222223</v>
      </c>
      <c r="U9" s="122">
        <v>0.64861111111111114</v>
      </c>
      <c r="V9" s="66">
        <v>0.65277777777777779</v>
      </c>
      <c r="W9" s="66">
        <f t="shared" si="4"/>
        <v>4.1666666666666519E-3</v>
      </c>
      <c r="X9" s="129">
        <v>94.3</v>
      </c>
      <c r="Y9" s="66">
        <v>0.66249999999999998</v>
      </c>
      <c r="Z9" s="66">
        <v>0.67013888888888884</v>
      </c>
      <c r="AA9" s="66">
        <f t="shared" si="5"/>
        <v>7.6388888888888618E-3</v>
      </c>
      <c r="AB9" s="63"/>
      <c r="AC9" s="66">
        <v>0.67291666666666661</v>
      </c>
      <c r="AD9" s="66">
        <v>0.67291666666666661</v>
      </c>
      <c r="AE9" s="66">
        <f t="shared" si="6"/>
        <v>0</v>
      </c>
      <c r="AF9" s="68">
        <f t="shared" si="7"/>
        <v>2.8472222222222232E-2</v>
      </c>
      <c r="AG9" s="67">
        <f t="shared" si="8"/>
        <v>4113.5834375000004</v>
      </c>
      <c r="AH9" s="68">
        <f t="shared" si="9"/>
        <v>4.8168424326697899E-2</v>
      </c>
      <c r="AI9" s="68">
        <f t="shared" si="10"/>
        <v>7.6640646548920138E-2</v>
      </c>
      <c r="AJ9" s="77"/>
    </row>
    <row r="10" spans="1:36" ht="26.55" customHeight="1">
      <c r="A10" s="22" t="s">
        <v>74</v>
      </c>
      <c r="B10" s="75" t="s">
        <v>164</v>
      </c>
      <c r="C10" s="78" t="s">
        <v>165</v>
      </c>
      <c r="D10" s="80" t="s">
        <v>166</v>
      </c>
      <c r="E10" s="122">
        <v>0.42708333333333331</v>
      </c>
      <c r="F10" s="122">
        <v>0.4291666666666667</v>
      </c>
      <c r="G10" s="66">
        <f t="shared" si="0"/>
        <v>2.0833333333333814E-3</v>
      </c>
      <c r="H10" s="122">
        <f>A10+1/1440</f>
        <v>1020.0006944444444</v>
      </c>
      <c r="I10" s="66">
        <v>0.45208333333333334</v>
      </c>
      <c r="J10" s="66">
        <v>0.45763888888888887</v>
      </c>
      <c r="K10" s="66">
        <f t="shared" si="1"/>
        <v>5.5555555555555358E-3</v>
      </c>
      <c r="L10" s="70">
        <f>A9+112.75/1440</f>
        <v>1500.0782986111112</v>
      </c>
      <c r="M10" s="66">
        <v>0.47222222222222227</v>
      </c>
      <c r="N10" s="66">
        <v>0.4777777777777778</v>
      </c>
      <c r="O10" s="66">
        <f t="shared" si="2"/>
        <v>5.5555555555555358E-3</v>
      </c>
      <c r="P10" s="131">
        <v>199</v>
      </c>
      <c r="Q10" s="122">
        <v>0.51736111111111105</v>
      </c>
      <c r="R10" s="122">
        <v>0.52361111111111114</v>
      </c>
      <c r="S10" s="66">
        <f t="shared" si="3"/>
        <v>6.2500000000000888E-3</v>
      </c>
      <c r="T10" s="70">
        <f>A10+166.95/1440</f>
        <v>1020.1159375</v>
      </c>
      <c r="U10" s="122">
        <v>0.55277777777777781</v>
      </c>
      <c r="V10" s="66">
        <v>0.55763888888888891</v>
      </c>
      <c r="W10" s="66">
        <f t="shared" si="4"/>
        <v>4.8611111111110938E-3</v>
      </c>
      <c r="X10" s="129">
        <v>117.51</v>
      </c>
      <c r="Y10" s="66">
        <v>0.56041666666666667</v>
      </c>
      <c r="Z10" s="66">
        <v>0.57916666666666672</v>
      </c>
      <c r="AA10" s="66">
        <f t="shared" si="5"/>
        <v>1.8750000000000044E-2</v>
      </c>
      <c r="AB10" s="63">
        <v>5</v>
      </c>
      <c r="AC10" s="66">
        <v>0.58194444444444449</v>
      </c>
      <c r="AD10" s="70">
        <v>0.58263888888888882</v>
      </c>
      <c r="AE10" s="66">
        <f t="shared" si="6"/>
        <v>6.9444444444433095E-4</v>
      </c>
      <c r="AF10" s="68">
        <f t="shared" si="7"/>
        <v>4.3750000000000011E-2</v>
      </c>
      <c r="AG10" s="67">
        <f t="shared" si="8"/>
        <v>3851.7049305555556</v>
      </c>
      <c r="AH10" s="68">
        <f t="shared" si="9"/>
        <v>4.5101931271142336E-2</v>
      </c>
      <c r="AI10" s="68">
        <f t="shared" si="10"/>
        <v>8.8851931271142354E-2</v>
      </c>
      <c r="AJ10" s="77"/>
    </row>
    <row r="11" spans="1:36" s="8" customFormat="1" ht="29.55" customHeight="1">
      <c r="A11" s="22" t="s">
        <v>36</v>
      </c>
      <c r="B11" s="75" t="s">
        <v>167</v>
      </c>
      <c r="C11" s="78" t="s">
        <v>168</v>
      </c>
      <c r="D11" s="149" t="s">
        <v>147</v>
      </c>
      <c r="E11" s="122">
        <v>0.34791666666666665</v>
      </c>
      <c r="F11" s="122">
        <v>0.34930555555555554</v>
      </c>
      <c r="G11" s="66">
        <f t="shared" si="0"/>
        <v>1.388888888888884E-3</v>
      </c>
      <c r="H11" s="121">
        <f>A11+138.66/1440</f>
        <v>820.09629166666662</v>
      </c>
      <c r="I11" s="66">
        <v>0.38194444444444442</v>
      </c>
      <c r="J11" s="66">
        <v>0.38680555555555557</v>
      </c>
      <c r="K11" s="66">
        <f t="shared" si="1"/>
        <v>4.8611111111111494E-3</v>
      </c>
      <c r="L11" s="70">
        <f>A10+83.45/1440</f>
        <v>1020.0579513888889</v>
      </c>
      <c r="M11" s="66">
        <v>0.3972222222222222</v>
      </c>
      <c r="N11" s="66">
        <v>0.40416666666666662</v>
      </c>
      <c r="O11" s="66">
        <f t="shared" si="2"/>
        <v>6.9444444444444198E-3</v>
      </c>
      <c r="P11" s="122">
        <f>A11+192.39/1440</f>
        <v>820.13360416666671</v>
      </c>
      <c r="Q11" s="122">
        <v>0.42499999999999999</v>
      </c>
      <c r="R11" s="122">
        <v>0.43263888888888885</v>
      </c>
      <c r="S11" s="66">
        <f t="shared" si="3"/>
        <v>7.6388888888888618E-3</v>
      </c>
      <c r="T11" s="131">
        <v>180</v>
      </c>
      <c r="U11" s="122">
        <v>0.4368055555555555</v>
      </c>
      <c r="V11" s="66">
        <v>0.45069444444444445</v>
      </c>
      <c r="W11" s="66">
        <f t="shared" si="4"/>
        <v>1.3888888888888951E-2</v>
      </c>
      <c r="X11" s="129">
        <v>91.4</v>
      </c>
      <c r="Y11" s="66">
        <v>0.45763888888888887</v>
      </c>
      <c r="Z11" s="66">
        <v>0.4680555555555555</v>
      </c>
      <c r="AA11" s="66">
        <f t="shared" si="5"/>
        <v>1.041666666666663E-2</v>
      </c>
      <c r="AB11" s="63"/>
      <c r="AC11" s="66">
        <v>0.47222222222222227</v>
      </c>
      <c r="AD11" s="66">
        <v>0.47291666666666665</v>
      </c>
      <c r="AE11" s="66">
        <f t="shared" si="6"/>
        <v>6.9444444444438647E-4</v>
      </c>
      <c r="AF11" s="68">
        <f t="shared" si="7"/>
        <v>4.5833333333333282E-2</v>
      </c>
      <c r="AG11" s="67">
        <f t="shared" si="8"/>
        <v>2931.6878472222224</v>
      </c>
      <c r="AH11" s="68">
        <f t="shared" si="9"/>
        <v>3.432889750845694E-2</v>
      </c>
      <c r="AI11" s="68">
        <f t="shared" si="10"/>
        <v>8.0162230841790222E-2</v>
      </c>
      <c r="AJ11" s="77"/>
    </row>
    <row r="12" spans="1:36" ht="20.55" customHeight="1">
      <c r="A12" s="22" t="s">
        <v>92</v>
      </c>
      <c r="B12" s="75" t="s">
        <v>169</v>
      </c>
      <c r="C12" s="139" t="s">
        <v>170</v>
      </c>
      <c r="D12" s="87" t="s">
        <v>147</v>
      </c>
      <c r="E12" s="122">
        <v>0.4145833333333333</v>
      </c>
      <c r="F12" s="122">
        <v>0.41666666666666669</v>
      </c>
      <c r="G12" s="66">
        <f t="shared" si="0"/>
        <v>2.0833333333333814E-3</v>
      </c>
      <c r="H12" s="124">
        <f>A12+118.54/1440</f>
        <v>1100.0823194444445</v>
      </c>
      <c r="I12" s="66">
        <v>0.4381944444444445</v>
      </c>
      <c r="J12" s="66">
        <v>0.44375000000000003</v>
      </c>
      <c r="K12" s="66">
        <f t="shared" si="1"/>
        <v>5.5555555555555358E-3</v>
      </c>
      <c r="L12" s="70">
        <f>A11+73.62/1440</f>
        <v>820.05112499999996</v>
      </c>
      <c r="M12" s="66">
        <v>0.4597222222222222</v>
      </c>
      <c r="N12" s="66">
        <v>0.46388888888888885</v>
      </c>
      <c r="O12" s="66">
        <f t="shared" si="2"/>
        <v>4.1666666666666519E-3</v>
      </c>
      <c r="P12" s="121">
        <f>A12+165/1440</f>
        <v>1100.1145833333333</v>
      </c>
      <c r="Q12" s="122">
        <v>0.49791666666666662</v>
      </c>
      <c r="R12" s="122">
        <v>0.50138888888888888</v>
      </c>
      <c r="S12" s="66">
        <f t="shared" si="3"/>
        <v>3.4722222222222654E-3</v>
      </c>
      <c r="T12" s="70">
        <f>A12+162.69/1440</f>
        <v>1100.1129791666667</v>
      </c>
      <c r="U12" s="122">
        <v>0.53055555555555556</v>
      </c>
      <c r="V12" s="66">
        <v>0.53333333333333333</v>
      </c>
      <c r="W12" s="66">
        <f t="shared" si="4"/>
        <v>2.7777777777777679E-3</v>
      </c>
      <c r="X12" s="129">
        <v>94.45</v>
      </c>
      <c r="Y12" s="66">
        <v>0.53680555555555554</v>
      </c>
      <c r="Z12" s="66">
        <v>0.54305555555555551</v>
      </c>
      <c r="AA12" s="66">
        <f t="shared" si="5"/>
        <v>6.2499999999999778E-3</v>
      </c>
      <c r="AB12" s="63">
        <v>5</v>
      </c>
      <c r="AC12" s="66">
        <v>0.54513888888888895</v>
      </c>
      <c r="AD12" s="66">
        <v>0.54583333333333328</v>
      </c>
      <c r="AE12" s="66">
        <f t="shared" si="6"/>
        <v>6.9444444444433095E-4</v>
      </c>
      <c r="AF12" s="68">
        <f t="shared" si="7"/>
        <v>2.4999999999999911E-2</v>
      </c>
      <c r="AG12" s="67">
        <f t="shared" si="8"/>
        <v>4209.8110069444438</v>
      </c>
      <c r="AH12" s="68">
        <f t="shared" si="9"/>
        <v>4.9295210854150395E-2</v>
      </c>
      <c r="AI12" s="68">
        <f t="shared" si="10"/>
        <v>7.4295210854150306E-2</v>
      </c>
      <c r="AJ12" s="77"/>
    </row>
    <row r="13" spans="1:36" s="9" customFormat="1" ht="19.2" customHeight="1">
      <c r="A13" s="21" t="s">
        <v>120</v>
      </c>
      <c r="B13" s="164" t="s">
        <v>171</v>
      </c>
      <c r="C13" s="165" t="s">
        <v>172</v>
      </c>
      <c r="D13" s="87" t="s">
        <v>147</v>
      </c>
      <c r="E13" s="122">
        <v>0.54513888888888895</v>
      </c>
      <c r="F13" s="122">
        <v>0.54652777777777783</v>
      </c>
      <c r="G13" s="66">
        <f t="shared" si="0"/>
        <v>1.388888888888884E-3</v>
      </c>
      <c r="H13" s="124">
        <f>A13+155.25/1440</f>
        <v>1300.1078124999999</v>
      </c>
      <c r="I13" s="66">
        <v>0.59444444444444444</v>
      </c>
      <c r="J13" s="66">
        <v>0.6</v>
      </c>
      <c r="K13" s="66">
        <f t="shared" si="1"/>
        <v>5.5555555555555358E-3</v>
      </c>
      <c r="L13" s="70">
        <f>A12+199.98/1440</f>
        <v>1100.1388750000001</v>
      </c>
      <c r="M13" s="66">
        <v>0.60763888888888895</v>
      </c>
      <c r="N13" s="66">
        <v>0.61319444444444449</v>
      </c>
      <c r="O13" s="66">
        <f t="shared" si="2"/>
        <v>5.5555555555555358E-3</v>
      </c>
      <c r="P13" s="131">
        <v>199</v>
      </c>
      <c r="Q13" s="122">
        <v>0.62361111111111112</v>
      </c>
      <c r="R13" s="122">
        <v>0.63055555555555554</v>
      </c>
      <c r="S13" s="66">
        <f t="shared" si="3"/>
        <v>6.9444444444444198E-3</v>
      </c>
      <c r="T13" s="70">
        <f>A13+180/1440</f>
        <v>1300.125</v>
      </c>
      <c r="U13" s="122">
        <v>0.64374999999999993</v>
      </c>
      <c r="V13" s="66">
        <v>0.65347222222222223</v>
      </c>
      <c r="W13" s="66">
        <f t="shared" si="4"/>
        <v>9.7222222222222987E-3</v>
      </c>
      <c r="X13" s="129">
        <v>100.47</v>
      </c>
      <c r="Y13" s="66">
        <v>0.6645833333333333</v>
      </c>
      <c r="Z13" s="66">
        <v>0.67569444444444438</v>
      </c>
      <c r="AA13" s="66">
        <f t="shared" si="5"/>
        <v>1.1111111111111072E-2</v>
      </c>
      <c r="AB13" s="63"/>
      <c r="AC13" s="66">
        <v>0.6791666666666667</v>
      </c>
      <c r="AD13" s="66">
        <v>0.6791666666666667</v>
      </c>
      <c r="AE13" s="66">
        <f t="shared" si="6"/>
        <v>0</v>
      </c>
      <c r="AF13" s="68">
        <f t="shared" si="7"/>
        <v>4.0277777777777746E-2</v>
      </c>
      <c r="AG13" s="67">
        <f t="shared" si="8"/>
        <v>3999.8416874999998</v>
      </c>
      <c r="AH13" s="68">
        <f t="shared" si="9"/>
        <v>4.6836553717798594E-2</v>
      </c>
      <c r="AI13" s="68">
        <f t="shared" si="10"/>
        <v>8.7114331495576347E-2</v>
      </c>
      <c r="AJ13" s="77"/>
    </row>
    <row r="14" spans="1:36" ht="24.45" customHeight="1">
      <c r="A14" s="21" t="s">
        <v>99</v>
      </c>
      <c r="B14" s="75" t="s">
        <v>173</v>
      </c>
      <c r="C14" s="88" t="s">
        <v>174</v>
      </c>
      <c r="D14" s="89" t="s">
        <v>147</v>
      </c>
      <c r="E14" s="122">
        <v>0.4694444444444445</v>
      </c>
      <c r="F14" s="122">
        <v>0.4694444444444445</v>
      </c>
      <c r="G14" s="66">
        <f t="shared" si="0"/>
        <v>0</v>
      </c>
      <c r="H14" s="124">
        <f>A14+180/1440</f>
        <v>1120.125</v>
      </c>
      <c r="I14" s="66">
        <v>0.5083333333333333</v>
      </c>
      <c r="J14" s="66">
        <v>0.51527777777777783</v>
      </c>
      <c r="K14" s="66">
        <f t="shared" si="1"/>
        <v>6.9444444444445308E-3</v>
      </c>
      <c r="L14" s="70">
        <f>A13+168/1440</f>
        <v>1300.1166666666666</v>
      </c>
      <c r="M14" s="66">
        <v>0.52847222222222223</v>
      </c>
      <c r="N14" s="66">
        <v>0.53611111111111109</v>
      </c>
      <c r="O14" s="66">
        <f t="shared" si="2"/>
        <v>7.6388888888888618E-3</v>
      </c>
      <c r="P14" s="131">
        <v>199</v>
      </c>
      <c r="Q14" s="122">
        <v>0.57430555555555551</v>
      </c>
      <c r="R14" s="122">
        <v>0.58263888888888882</v>
      </c>
      <c r="S14" s="66">
        <f t="shared" si="3"/>
        <v>8.3333333333333037E-3</v>
      </c>
      <c r="T14" s="70">
        <f>A14+180/1440</f>
        <v>1120.125</v>
      </c>
      <c r="U14" s="122">
        <v>0.6</v>
      </c>
      <c r="V14" s="66">
        <v>0.6069444444444444</v>
      </c>
      <c r="W14" s="66">
        <f t="shared" si="4"/>
        <v>6.9444444444444198E-3</v>
      </c>
      <c r="X14" s="129">
        <v>131.36000000000001</v>
      </c>
      <c r="Y14" s="66">
        <v>0.61944444444444446</v>
      </c>
      <c r="Z14" s="66">
        <v>0.63194444444444442</v>
      </c>
      <c r="AA14" s="66">
        <f t="shared" si="5"/>
        <v>1.2499999999999956E-2</v>
      </c>
      <c r="AB14" s="63"/>
      <c r="AC14" s="66">
        <v>0.63611111111111118</v>
      </c>
      <c r="AD14" s="66">
        <v>0.63680555555555551</v>
      </c>
      <c r="AE14" s="66">
        <f t="shared" si="6"/>
        <v>6.9444444444433095E-4</v>
      </c>
      <c r="AF14" s="68">
        <f t="shared" si="7"/>
        <v>4.3055555555555403E-2</v>
      </c>
      <c r="AG14" s="67">
        <f t="shared" si="8"/>
        <v>3870.7266666666669</v>
      </c>
      <c r="AH14" s="68">
        <f t="shared" si="9"/>
        <v>4.5324668227946917E-2</v>
      </c>
      <c r="AI14" s="68">
        <f t="shared" si="10"/>
        <v>8.8380223783502326E-2</v>
      </c>
      <c r="AJ14" s="77"/>
    </row>
    <row r="15" spans="1:36" s="8" customFormat="1" ht="24.45" customHeight="1">
      <c r="A15" s="21" t="s">
        <v>175</v>
      </c>
      <c r="B15" s="75" t="s">
        <v>176</v>
      </c>
      <c r="C15" s="88" t="s">
        <v>177</v>
      </c>
      <c r="D15" s="89" t="s">
        <v>147</v>
      </c>
      <c r="E15" s="122">
        <v>0.33333333333333331</v>
      </c>
      <c r="F15" s="122">
        <v>0.33680555555555558</v>
      </c>
      <c r="G15" s="66">
        <f t="shared" si="0"/>
        <v>3.4722222222222654E-3</v>
      </c>
      <c r="H15" s="124">
        <f>A15+171.98/1440</f>
        <v>740.1194305555556</v>
      </c>
      <c r="I15" s="66">
        <v>0.3611111111111111</v>
      </c>
      <c r="J15" s="66">
        <v>0.37291666666666662</v>
      </c>
      <c r="K15" s="66">
        <f t="shared" si="1"/>
        <v>1.1805555555555514E-2</v>
      </c>
      <c r="L15" s="70">
        <f>A14+109.33/1440</f>
        <v>1120.0759236111112</v>
      </c>
      <c r="M15" s="66">
        <v>0.38611111111111113</v>
      </c>
      <c r="N15" s="66">
        <v>0.39305555555555555</v>
      </c>
      <c r="O15" s="66">
        <f t="shared" si="2"/>
        <v>6.9444444444444198E-3</v>
      </c>
      <c r="P15" s="131">
        <v>199</v>
      </c>
      <c r="Q15" s="122">
        <v>0.40486111111111112</v>
      </c>
      <c r="R15" s="122">
        <v>0.41666666666666669</v>
      </c>
      <c r="S15" s="66">
        <f t="shared" si="3"/>
        <v>1.1805555555555569E-2</v>
      </c>
      <c r="T15" s="131">
        <v>180</v>
      </c>
      <c r="U15" s="122">
        <v>0.42777777777777781</v>
      </c>
      <c r="V15" s="66">
        <v>0.43888888888888888</v>
      </c>
      <c r="W15" s="66">
        <f t="shared" si="4"/>
        <v>1.1111111111111072E-2</v>
      </c>
      <c r="X15" s="129">
        <v>116.12</v>
      </c>
      <c r="Y15" s="66">
        <v>0.45</v>
      </c>
      <c r="Z15" s="66">
        <v>0.46180555555555558</v>
      </c>
      <c r="AA15" s="66">
        <f t="shared" si="5"/>
        <v>1.1805555555555569E-2</v>
      </c>
      <c r="AB15" s="63"/>
      <c r="AC15" s="66">
        <v>0.46597222222222223</v>
      </c>
      <c r="AD15" s="66">
        <v>0.46597222222222223</v>
      </c>
      <c r="AE15" s="66">
        <f t="shared" si="6"/>
        <v>0</v>
      </c>
      <c r="AF15" s="68">
        <f t="shared" si="7"/>
        <v>5.6944444444444409E-2</v>
      </c>
      <c r="AG15" s="67">
        <f t="shared" si="8"/>
        <v>2355.3153541666666</v>
      </c>
      <c r="AH15" s="68">
        <f t="shared" si="9"/>
        <v>2.7579805083918812E-2</v>
      </c>
      <c r="AI15" s="68">
        <f t="shared" si="10"/>
        <v>8.4524249528363224E-2</v>
      </c>
      <c r="AJ15" s="77"/>
    </row>
    <row r="16" spans="1:36" ht="24.45" customHeight="1">
      <c r="A16" s="23" t="s">
        <v>41</v>
      </c>
      <c r="B16" s="75" t="s">
        <v>178</v>
      </c>
      <c r="C16" s="78" t="s">
        <v>179</v>
      </c>
      <c r="D16" s="80" t="s">
        <v>147</v>
      </c>
      <c r="E16" s="122">
        <v>0.35972222222222222</v>
      </c>
      <c r="F16" s="122">
        <v>0.36249999999999999</v>
      </c>
      <c r="G16" s="66">
        <f t="shared" si="0"/>
        <v>2.7777777777777679E-3</v>
      </c>
      <c r="H16" s="121">
        <f>A16+126.17/1440</f>
        <v>840.08761805555559</v>
      </c>
      <c r="I16" s="66">
        <v>0.39097222222222222</v>
      </c>
      <c r="J16" s="66">
        <v>0.39999999999999997</v>
      </c>
      <c r="K16" s="66">
        <f t="shared" si="1"/>
        <v>9.0277777777777457E-3</v>
      </c>
      <c r="L16" s="70">
        <f>A15+89.1/1440</f>
        <v>740.06187499999999</v>
      </c>
      <c r="M16" s="66">
        <v>0.41180555555555554</v>
      </c>
      <c r="N16" s="66">
        <v>0.42152777777777778</v>
      </c>
      <c r="O16" s="66">
        <f t="shared" si="2"/>
        <v>9.7222222222222432E-3</v>
      </c>
      <c r="P16" s="122">
        <f>A16+178.01/1440</f>
        <v>840.12361805555554</v>
      </c>
      <c r="Q16" s="122">
        <v>0.44375000000000003</v>
      </c>
      <c r="R16" s="122">
        <v>0.4513888888888889</v>
      </c>
      <c r="S16" s="66">
        <f t="shared" si="3"/>
        <v>7.6388888888888618E-3</v>
      </c>
      <c r="T16" s="70">
        <f>A16+128.03/1440</f>
        <v>840.08890972222218</v>
      </c>
      <c r="U16" s="122">
        <v>0.46875</v>
      </c>
      <c r="V16" s="66">
        <v>0.47569444444444442</v>
      </c>
      <c r="W16" s="66">
        <f t="shared" si="4"/>
        <v>6.9444444444444198E-3</v>
      </c>
      <c r="X16" s="129">
        <v>86.2</v>
      </c>
      <c r="Y16" s="66">
        <v>0.48472222222222222</v>
      </c>
      <c r="Z16" s="66">
        <v>0.49583333333333335</v>
      </c>
      <c r="AA16" s="66">
        <f t="shared" si="5"/>
        <v>1.1111111111111127E-2</v>
      </c>
      <c r="AB16" s="63">
        <v>5</v>
      </c>
      <c r="AC16" s="66">
        <v>0.4993055555555555</v>
      </c>
      <c r="AD16" s="66">
        <v>0.5</v>
      </c>
      <c r="AE16" s="66">
        <f t="shared" si="6"/>
        <v>6.9444444444449749E-4</v>
      </c>
      <c r="AF16" s="68">
        <f t="shared" si="7"/>
        <v>4.7916666666666663E-2</v>
      </c>
      <c r="AG16" s="67">
        <f t="shared" si="8"/>
        <v>3341.562020833333</v>
      </c>
      <c r="AH16" s="68">
        <f t="shared" si="9"/>
        <v>3.9128360899687742E-2</v>
      </c>
      <c r="AI16" s="68">
        <f t="shared" si="10"/>
        <v>8.7045027566354405E-2</v>
      </c>
      <c r="AJ16" s="77"/>
    </row>
    <row r="17" spans="1:36" s="8" customFormat="1" ht="20.55" customHeight="1">
      <c r="A17" s="21" t="s">
        <v>161</v>
      </c>
      <c r="B17" s="98" t="s">
        <v>180</v>
      </c>
      <c r="C17" s="119" t="s">
        <v>181</v>
      </c>
      <c r="D17" s="166" t="s">
        <v>147</v>
      </c>
      <c r="E17" s="122">
        <v>0.57638888888888895</v>
      </c>
      <c r="F17" s="122">
        <v>0.57777777777777783</v>
      </c>
      <c r="G17" s="66">
        <f t="shared" si="0"/>
        <v>1.388888888888884E-3</v>
      </c>
      <c r="H17" s="158">
        <f>A17+102.85/1440</f>
        <v>1500.0714236111112</v>
      </c>
      <c r="I17" s="66">
        <v>0.60555555555555551</v>
      </c>
      <c r="J17" s="66">
        <v>0.60902777777777783</v>
      </c>
      <c r="K17" s="66">
        <f t="shared" si="1"/>
        <v>3.4722222222223209E-3</v>
      </c>
      <c r="L17" s="70" t="e">
        <f>#REF!+73.23/1440</f>
        <v>#REF!</v>
      </c>
      <c r="M17" s="66">
        <v>0.61458333333333337</v>
      </c>
      <c r="N17" s="66">
        <v>0.61805555555555558</v>
      </c>
      <c r="O17" s="66">
        <f t="shared" si="2"/>
        <v>3.4722222222222099E-3</v>
      </c>
      <c r="P17" s="121">
        <f>A17+169.29/1440</f>
        <v>1500.1175625000001</v>
      </c>
      <c r="Q17" s="122">
        <v>0.63124999999999998</v>
      </c>
      <c r="R17" s="122">
        <v>0.63472222222222219</v>
      </c>
      <c r="S17" s="66">
        <f t="shared" si="3"/>
        <v>3.4722222222222099E-3</v>
      </c>
      <c r="T17" s="70">
        <f>A17+117.62/1440</f>
        <v>1500.0816805555555</v>
      </c>
      <c r="U17" s="122">
        <v>0.64444444444444449</v>
      </c>
      <c r="V17" s="66">
        <v>0.64722222222222225</v>
      </c>
      <c r="W17" s="66">
        <f t="shared" si="4"/>
        <v>2.7777777777777679E-3</v>
      </c>
      <c r="X17" s="129">
        <v>65.680000000000007</v>
      </c>
      <c r="Y17" s="66">
        <v>0.65763888888888888</v>
      </c>
      <c r="Z17" s="66">
        <v>0.66319444444444442</v>
      </c>
      <c r="AA17" s="66">
        <f t="shared" si="5"/>
        <v>5.5555555555555358E-3</v>
      </c>
      <c r="AB17" s="63">
        <v>5</v>
      </c>
      <c r="AC17" s="66">
        <v>0.66666666666666663</v>
      </c>
      <c r="AD17" s="66">
        <v>0.66666666666666663</v>
      </c>
      <c r="AE17" s="66">
        <f t="shared" si="6"/>
        <v>0</v>
      </c>
      <c r="AF17" s="68">
        <f t="shared" si="7"/>
        <v>2.0138888888888928E-2</v>
      </c>
      <c r="AG17" s="67" t="e">
        <f t="shared" si="8"/>
        <v>#REF!</v>
      </c>
      <c r="AH17" s="68" t="e">
        <f t="shared" si="9"/>
        <v>#REF!</v>
      </c>
      <c r="AI17" s="68" t="e">
        <f t="shared" si="10"/>
        <v>#REF!</v>
      </c>
      <c r="AJ17" s="77"/>
    </row>
    <row r="18" spans="1:36" ht="20.55" customHeight="1">
      <c r="A18" s="48" t="s">
        <v>29</v>
      </c>
      <c r="B18" s="75" t="s">
        <v>182</v>
      </c>
      <c r="C18" s="141" t="s">
        <v>183</v>
      </c>
      <c r="D18" s="76" t="s">
        <v>147</v>
      </c>
      <c r="E18" s="122"/>
      <c r="F18" s="122"/>
      <c r="G18" s="66"/>
      <c r="H18" s="121">
        <f>A18+1/1440</f>
        <v>800.00069444444443</v>
      </c>
      <c r="I18" s="66"/>
      <c r="J18" s="66"/>
      <c r="K18" s="66">
        <f t="shared" si="1"/>
        <v>0</v>
      </c>
      <c r="L18" s="70" t="e">
        <f>#REF!+0/1440</f>
        <v>#REF!</v>
      </c>
      <c r="M18" s="66"/>
      <c r="N18" s="66"/>
      <c r="O18" s="66">
        <f t="shared" si="2"/>
        <v>0</v>
      </c>
      <c r="P18" s="122">
        <f>A18+1/1440</f>
        <v>800.00069444444443</v>
      </c>
      <c r="Q18" s="122"/>
      <c r="R18" s="122"/>
      <c r="S18" s="66">
        <f t="shared" si="3"/>
        <v>0</v>
      </c>
      <c r="T18" s="70">
        <f>A18+0/1440</f>
        <v>800</v>
      </c>
      <c r="U18" s="122"/>
      <c r="V18" s="66"/>
      <c r="W18" s="66">
        <f t="shared" si="4"/>
        <v>0</v>
      </c>
      <c r="X18" s="129"/>
      <c r="Y18" s="66"/>
      <c r="Z18" s="66"/>
      <c r="AA18" s="66">
        <f t="shared" si="5"/>
        <v>0</v>
      </c>
      <c r="AB18" s="63"/>
      <c r="AC18" s="66"/>
      <c r="AD18" s="66"/>
      <c r="AE18" s="66">
        <f t="shared" si="6"/>
        <v>0</v>
      </c>
      <c r="AF18" s="68">
        <f t="shared" si="7"/>
        <v>0</v>
      </c>
      <c r="AG18" s="67" t="e">
        <f t="shared" si="8"/>
        <v>#REF!</v>
      </c>
      <c r="AH18" s="68" t="e">
        <f t="shared" si="9"/>
        <v>#REF!</v>
      </c>
      <c r="AI18" s="68" t="e">
        <f t="shared" si="10"/>
        <v>#REF!</v>
      </c>
      <c r="AJ18" s="69"/>
    </row>
    <row r="19" spans="1:36" s="8" customFormat="1" ht="22.2" customHeight="1">
      <c r="A19" s="19"/>
      <c r="B19" s="35"/>
      <c r="C19"/>
      <c r="D19" s="2"/>
      <c r="E19"/>
      <c r="F19"/>
      <c r="G19" s="26"/>
      <c r="H19" s="128"/>
      <c r="I19"/>
      <c r="J19"/>
      <c r="K19" s="26"/>
      <c r="L19"/>
      <c r="M19"/>
      <c r="N19" s="2"/>
      <c r="O19" s="26"/>
      <c r="P19" s="2"/>
      <c r="Q19"/>
      <c r="R19"/>
      <c r="S19" s="26"/>
      <c r="T19"/>
      <c r="U19"/>
      <c r="V19"/>
      <c r="W19" s="26"/>
      <c r="X19"/>
      <c r="Y19"/>
      <c r="Z19"/>
      <c r="AA19" s="26"/>
      <c r="AB19"/>
      <c r="AC19"/>
      <c r="AD19"/>
      <c r="AE19" s="26"/>
      <c r="AF19"/>
      <c r="AG19"/>
      <c r="AH19"/>
      <c r="AI19"/>
      <c r="AJ19"/>
    </row>
    <row r="20" spans="1:36" ht="20.55" customHeight="1"/>
    <row r="21" spans="1:36" s="8" customFormat="1" ht="20.55" customHeight="1">
      <c r="A21" s="19"/>
      <c r="B21" s="35"/>
      <c r="C21"/>
      <c r="D21" s="2"/>
      <c r="E21"/>
      <c r="F21"/>
      <c r="G21" s="26"/>
      <c r="H21"/>
      <c r="I21"/>
      <c r="J21"/>
      <c r="K21" s="26"/>
      <c r="L21"/>
      <c r="M21"/>
      <c r="N21" s="2"/>
      <c r="O21" s="26"/>
      <c r="P21" s="2"/>
      <c r="Q21"/>
      <c r="R21"/>
      <c r="S21" s="26"/>
      <c r="T21"/>
      <c r="U21"/>
      <c r="V21"/>
      <c r="W21" s="26"/>
      <c r="X21"/>
      <c r="Y21"/>
      <c r="Z21"/>
      <c r="AA21" s="26"/>
      <c r="AB21"/>
      <c r="AC21"/>
      <c r="AD21"/>
      <c r="AE21" s="26"/>
      <c r="AF21"/>
      <c r="AG21"/>
      <c r="AH21"/>
      <c r="AI21"/>
      <c r="AJ21"/>
    </row>
    <row r="22" spans="1:36" ht="20.55" customHeight="1"/>
    <row r="23" spans="1:36" s="8" customFormat="1" ht="20.55" customHeight="1">
      <c r="A23" s="19"/>
      <c r="B23" s="35"/>
      <c r="C23"/>
      <c r="D23" s="2"/>
      <c r="E23"/>
      <c r="F23"/>
      <c r="G23" s="26"/>
      <c r="H23"/>
      <c r="I23"/>
      <c r="J23"/>
      <c r="K23" s="26"/>
      <c r="L23"/>
      <c r="M23"/>
      <c r="N23" s="2"/>
      <c r="O23" s="26"/>
      <c r="P23" s="2"/>
      <c r="Q23"/>
      <c r="R23"/>
      <c r="S23" s="26"/>
      <c r="T23"/>
      <c r="U23"/>
      <c r="V23"/>
      <c r="W23" s="26"/>
      <c r="X23"/>
      <c r="Y23"/>
      <c r="Z23"/>
      <c r="AA23" s="26"/>
      <c r="AB23"/>
      <c r="AC23"/>
      <c r="AD23"/>
      <c r="AE23" s="26"/>
      <c r="AF23"/>
      <c r="AG23"/>
      <c r="AH23"/>
      <c r="AI23"/>
      <c r="AJ23"/>
    </row>
    <row r="24" spans="1:36" ht="20.55" customHeight="1"/>
    <row r="25" spans="1:36" s="8" customFormat="1" ht="20.55" customHeight="1">
      <c r="A25" s="19"/>
      <c r="B25" s="35"/>
      <c r="C25"/>
      <c r="D25" s="2"/>
      <c r="E25"/>
      <c r="F25"/>
      <c r="G25" s="26"/>
      <c r="H25"/>
      <c r="I25"/>
      <c r="J25"/>
      <c r="K25" s="26"/>
      <c r="L25"/>
      <c r="M25"/>
      <c r="N25" s="2"/>
      <c r="O25" s="26"/>
      <c r="P25" s="2"/>
      <c r="Q25"/>
      <c r="R25"/>
      <c r="S25" s="26"/>
      <c r="T25"/>
      <c r="U25"/>
      <c r="V25"/>
      <c r="W25" s="26"/>
      <c r="X25"/>
      <c r="Y25"/>
      <c r="Z25"/>
      <c r="AA25" s="26"/>
      <c r="AB25"/>
      <c r="AC25"/>
      <c r="AD25"/>
      <c r="AE25" s="26"/>
      <c r="AF25"/>
      <c r="AG25"/>
      <c r="AH25"/>
      <c r="AI25"/>
      <c r="AJ25"/>
    </row>
    <row r="26" spans="1:36" ht="20.55" customHeight="1"/>
    <row r="27" spans="1:36" s="8" customFormat="1" ht="20.55" customHeight="1">
      <c r="A27" s="19"/>
      <c r="B27" s="35"/>
      <c r="C27"/>
      <c r="D27" s="2"/>
      <c r="E27"/>
      <c r="F27"/>
      <c r="G27" s="26"/>
      <c r="H27"/>
      <c r="I27"/>
      <c r="J27"/>
      <c r="K27" s="26"/>
      <c r="L27"/>
      <c r="M27"/>
      <c r="N27" s="2"/>
      <c r="O27" s="26"/>
      <c r="P27" s="2"/>
      <c r="Q27"/>
      <c r="R27"/>
      <c r="S27" s="26"/>
      <c r="T27"/>
      <c r="U27"/>
      <c r="V27"/>
      <c r="W27" s="26"/>
      <c r="X27"/>
      <c r="Y27"/>
      <c r="Z27"/>
      <c r="AA27" s="26"/>
      <c r="AB27"/>
      <c r="AC27"/>
      <c r="AD27"/>
      <c r="AE27" s="26"/>
      <c r="AF27"/>
      <c r="AG27"/>
      <c r="AH27"/>
      <c r="AI27"/>
      <c r="AJ27"/>
    </row>
    <row r="28" spans="1:36" ht="20.55" customHeight="1"/>
    <row r="29" spans="1:36" s="8" customFormat="1" ht="20.55" customHeight="1">
      <c r="A29" s="19"/>
      <c r="B29" s="35"/>
      <c r="C29"/>
      <c r="D29" s="2"/>
      <c r="E29"/>
      <c r="F29"/>
      <c r="G29" s="26"/>
      <c r="H29"/>
      <c r="I29"/>
      <c r="J29"/>
      <c r="K29" s="26"/>
      <c r="L29"/>
      <c r="M29"/>
      <c r="N29" s="2"/>
      <c r="O29" s="26"/>
      <c r="P29" s="2"/>
      <c r="Q29"/>
      <c r="R29"/>
      <c r="S29" s="26"/>
      <c r="T29"/>
      <c r="U29"/>
      <c r="V29"/>
      <c r="W29" s="26"/>
      <c r="X29"/>
      <c r="Y29"/>
      <c r="Z29"/>
      <c r="AA29" s="26"/>
      <c r="AB29"/>
      <c r="AC29"/>
      <c r="AD29"/>
      <c r="AE29" s="26"/>
      <c r="AF29"/>
      <c r="AG29"/>
      <c r="AH29"/>
      <c r="AI29"/>
      <c r="AJ29"/>
    </row>
    <row r="30" spans="1:36" ht="20.55" customHeight="1"/>
    <row r="31" spans="1:36" s="8" customFormat="1" ht="20.55" customHeight="1">
      <c r="A31" s="19"/>
      <c r="B31" s="35"/>
      <c r="C31"/>
      <c r="D31" s="2"/>
      <c r="E31"/>
      <c r="F31"/>
      <c r="G31" s="26"/>
      <c r="H31"/>
      <c r="I31"/>
      <c r="J31"/>
      <c r="K31" s="26"/>
      <c r="L31"/>
      <c r="M31"/>
      <c r="N31" s="2"/>
      <c r="O31" s="26"/>
      <c r="P31" s="2"/>
      <c r="Q31"/>
      <c r="R31"/>
      <c r="S31" s="26"/>
      <c r="T31"/>
      <c r="U31"/>
      <c r="V31"/>
      <c r="W31" s="26"/>
      <c r="X31"/>
      <c r="Y31"/>
      <c r="Z31"/>
      <c r="AA31" s="26"/>
      <c r="AB31"/>
      <c r="AC31"/>
      <c r="AD31"/>
      <c r="AE31" s="26"/>
      <c r="AF31"/>
      <c r="AG31"/>
      <c r="AH31"/>
      <c r="AI31"/>
      <c r="AJ31"/>
    </row>
    <row r="32" spans="1:36" ht="20.55" customHeight="1"/>
    <row r="33" spans="1:36" s="8" customFormat="1" ht="20.55" customHeight="1">
      <c r="A33" s="19"/>
      <c r="B33" s="35"/>
      <c r="C33"/>
      <c r="D33" s="2"/>
      <c r="E33"/>
      <c r="F33"/>
      <c r="G33" s="26"/>
      <c r="H33"/>
      <c r="I33"/>
      <c r="J33"/>
      <c r="K33" s="26"/>
      <c r="L33"/>
      <c r="M33"/>
      <c r="N33" s="2"/>
      <c r="O33" s="26"/>
      <c r="P33" s="2"/>
      <c r="Q33"/>
      <c r="R33"/>
      <c r="S33" s="26"/>
      <c r="T33"/>
      <c r="U33"/>
      <c r="V33"/>
      <c r="W33" s="26"/>
      <c r="X33"/>
      <c r="Y33"/>
      <c r="Z33"/>
      <c r="AA33" s="26"/>
      <c r="AB33"/>
      <c r="AC33"/>
      <c r="AD33"/>
      <c r="AE33" s="26"/>
      <c r="AF33"/>
      <c r="AG33"/>
      <c r="AH33"/>
      <c r="AI33"/>
      <c r="AJ33"/>
    </row>
    <row r="34" spans="1:36" ht="20.55" customHeight="1"/>
    <row r="35" spans="1:36" s="8" customFormat="1" ht="20.55" customHeight="1">
      <c r="A35" s="19"/>
      <c r="B35" s="35"/>
      <c r="C35"/>
      <c r="D35" s="2"/>
      <c r="E35"/>
      <c r="F35"/>
      <c r="G35" s="26"/>
      <c r="H35"/>
      <c r="I35"/>
      <c r="J35"/>
      <c r="K35" s="26"/>
      <c r="L35"/>
      <c r="M35"/>
      <c r="N35" s="2"/>
      <c r="O35" s="26"/>
      <c r="P35" s="2"/>
      <c r="Q35"/>
      <c r="R35"/>
      <c r="S35" s="26"/>
      <c r="T35"/>
      <c r="U35"/>
      <c r="V35"/>
      <c r="W35" s="26"/>
      <c r="X35"/>
      <c r="Y35"/>
      <c r="Z35"/>
      <c r="AA35" s="26"/>
      <c r="AB35"/>
      <c r="AC35"/>
      <c r="AD35"/>
      <c r="AE35" s="26"/>
      <c r="AF35"/>
      <c r="AG35"/>
      <c r="AH35"/>
      <c r="AI35"/>
      <c r="AJ35"/>
    </row>
    <row r="36" spans="1:36" ht="20.55" customHeight="1"/>
    <row r="37" spans="1:36" s="8" customFormat="1" ht="20.55" customHeight="1">
      <c r="A37" s="19"/>
      <c r="B37" s="35"/>
      <c r="C37"/>
      <c r="D37" s="2"/>
      <c r="E37"/>
      <c r="F37"/>
      <c r="G37" s="26"/>
      <c r="H37"/>
      <c r="I37"/>
      <c r="J37"/>
      <c r="K37" s="26"/>
      <c r="L37"/>
      <c r="M37"/>
      <c r="N37" s="2"/>
      <c r="O37" s="26"/>
      <c r="P37" s="2"/>
      <c r="Q37"/>
      <c r="R37"/>
      <c r="S37" s="26"/>
      <c r="T37"/>
      <c r="U37"/>
      <c r="V37"/>
      <c r="W37" s="26"/>
      <c r="X37"/>
      <c r="Y37"/>
      <c r="Z37"/>
      <c r="AA37" s="26"/>
      <c r="AB37"/>
      <c r="AC37"/>
      <c r="AD37"/>
      <c r="AE37" s="26"/>
      <c r="AF37"/>
      <c r="AG37"/>
      <c r="AH37"/>
      <c r="AI37"/>
      <c r="AJ37"/>
    </row>
    <row r="38" spans="1:36" ht="20.55" customHeight="1"/>
    <row r="40" spans="1:36" s="9" customFormat="1" ht="19.2" customHeight="1">
      <c r="A40" s="19"/>
      <c r="B40" s="35"/>
      <c r="C40"/>
      <c r="D40" s="2"/>
      <c r="E40"/>
      <c r="F40"/>
      <c r="G40" s="26"/>
      <c r="H40"/>
      <c r="I40"/>
      <c r="J40"/>
      <c r="K40" s="26"/>
      <c r="L40"/>
      <c r="M40"/>
      <c r="N40" s="2"/>
      <c r="O40" s="26"/>
      <c r="P40" s="2"/>
      <c r="Q40"/>
      <c r="R40"/>
      <c r="S40" s="26"/>
      <c r="T40"/>
      <c r="U40"/>
      <c r="V40"/>
      <c r="W40" s="26"/>
      <c r="X40"/>
      <c r="Y40"/>
      <c r="Z40"/>
      <c r="AA40" s="26"/>
      <c r="AB40"/>
      <c r="AC40"/>
      <c r="AD40"/>
      <c r="AE40" s="26"/>
      <c r="AF40"/>
      <c r="AG40"/>
      <c r="AH40"/>
      <c r="AI40"/>
      <c r="AJ40"/>
    </row>
    <row r="42" spans="1:36" s="8" customFormat="1">
      <c r="A42" s="19"/>
      <c r="B42" s="35"/>
      <c r="C42"/>
      <c r="D42" s="2"/>
      <c r="E42"/>
      <c r="F42"/>
      <c r="G42" s="26"/>
      <c r="H42"/>
      <c r="I42"/>
      <c r="J42"/>
      <c r="K42" s="26"/>
      <c r="L42"/>
      <c r="M42"/>
      <c r="N42" s="2"/>
      <c r="O42" s="26"/>
      <c r="P42" s="2"/>
      <c r="Q42"/>
      <c r="R42"/>
      <c r="S42" s="26"/>
      <c r="T42"/>
      <c r="U42"/>
      <c r="V42"/>
      <c r="W42" s="26"/>
      <c r="X42"/>
      <c r="Y42"/>
      <c r="Z42"/>
      <c r="AA42" s="26"/>
      <c r="AB42"/>
      <c r="AC42"/>
      <c r="AD42"/>
      <c r="AE42" s="26"/>
      <c r="AF42"/>
      <c r="AG42"/>
      <c r="AH42"/>
      <c r="AI42"/>
      <c r="AJ42"/>
    </row>
    <row r="43" spans="1:36" ht="20.55" customHeight="1"/>
    <row r="44" spans="1:36" s="8" customFormat="1" ht="24.45" customHeight="1">
      <c r="A44" s="19"/>
      <c r="B44" s="35"/>
      <c r="C44"/>
      <c r="D44" s="2"/>
      <c r="E44"/>
      <c r="F44"/>
      <c r="G44" s="26"/>
      <c r="H44"/>
      <c r="I44"/>
      <c r="J44"/>
      <c r="K44" s="26"/>
      <c r="L44"/>
      <c r="M44"/>
      <c r="N44" s="2"/>
      <c r="O44" s="26"/>
      <c r="P44" s="2"/>
      <c r="Q44"/>
      <c r="R44"/>
      <c r="S44" s="26"/>
      <c r="T44"/>
      <c r="U44"/>
      <c r="V44"/>
      <c r="W44" s="26"/>
      <c r="X44"/>
      <c r="Y44"/>
      <c r="Z44"/>
      <c r="AA44" s="26"/>
      <c r="AB44"/>
      <c r="AC44"/>
      <c r="AD44"/>
      <c r="AE44" s="26"/>
      <c r="AF44"/>
      <c r="AG44"/>
      <c r="AH44"/>
      <c r="AI44"/>
      <c r="AJ44"/>
    </row>
    <row r="45" spans="1:36" ht="24.45" customHeight="1"/>
    <row r="46" spans="1:36" s="8" customFormat="1" ht="20.55" customHeight="1">
      <c r="A46" s="19"/>
      <c r="B46" s="35"/>
      <c r="C46"/>
      <c r="D46" s="2"/>
      <c r="E46"/>
      <c r="F46"/>
      <c r="G46" s="26"/>
      <c r="H46"/>
      <c r="I46"/>
      <c r="J46"/>
      <c r="K46" s="26"/>
      <c r="L46"/>
      <c r="M46"/>
      <c r="N46" s="2"/>
      <c r="O46" s="26"/>
      <c r="P46" s="2"/>
      <c r="Q46"/>
      <c r="R46"/>
      <c r="S46" s="26"/>
      <c r="T46"/>
      <c r="U46"/>
      <c r="V46"/>
      <c r="W46" s="26"/>
      <c r="X46"/>
      <c r="Y46"/>
      <c r="Z46"/>
      <c r="AA46" s="26"/>
      <c r="AB46"/>
      <c r="AC46"/>
      <c r="AD46"/>
      <c r="AE46" s="26"/>
      <c r="AF46"/>
      <c r="AG46"/>
      <c r="AH46"/>
      <c r="AI46"/>
      <c r="AJ46"/>
    </row>
    <row r="47" spans="1:36" ht="20.55" customHeight="1"/>
    <row r="48" spans="1:36" s="8" customFormat="1" ht="20.55" customHeight="1">
      <c r="A48" s="19"/>
      <c r="B48" s="35"/>
      <c r="C48"/>
      <c r="D48" s="2"/>
      <c r="E48"/>
      <c r="F48"/>
      <c r="G48" s="26"/>
      <c r="H48"/>
      <c r="I48"/>
      <c r="J48"/>
      <c r="K48" s="26"/>
      <c r="L48"/>
      <c r="M48"/>
      <c r="N48" s="2"/>
      <c r="O48" s="26"/>
      <c r="P48" s="2"/>
      <c r="Q48"/>
      <c r="R48"/>
      <c r="S48" s="26"/>
      <c r="T48"/>
      <c r="U48"/>
      <c r="V48"/>
      <c r="W48" s="26"/>
      <c r="X48"/>
      <c r="Y48"/>
      <c r="Z48"/>
      <c r="AA48" s="26"/>
      <c r="AB48"/>
      <c r="AC48"/>
      <c r="AD48"/>
      <c r="AE48" s="26"/>
      <c r="AF48"/>
      <c r="AG48"/>
      <c r="AH48"/>
      <c r="AI48"/>
      <c r="AJ48"/>
    </row>
    <row r="49" spans="1:36" ht="20.55" customHeight="1"/>
    <row r="50" spans="1:36" s="8" customFormat="1" ht="22.2" customHeight="1">
      <c r="A50" s="19"/>
      <c r="B50" s="35"/>
      <c r="C50"/>
      <c r="D50" s="2"/>
      <c r="E50"/>
      <c r="F50"/>
      <c r="G50" s="26"/>
      <c r="H50"/>
      <c r="I50"/>
      <c r="J50"/>
      <c r="K50" s="26"/>
      <c r="L50"/>
      <c r="M50"/>
      <c r="N50" s="2"/>
      <c r="O50" s="26"/>
      <c r="P50" s="2"/>
      <c r="Q50"/>
      <c r="R50"/>
      <c r="S50" s="26"/>
      <c r="T50"/>
      <c r="U50"/>
      <c r="V50"/>
      <c r="W50" s="26"/>
      <c r="X50"/>
      <c r="Y50"/>
      <c r="Z50"/>
      <c r="AA50" s="26"/>
      <c r="AB50"/>
      <c r="AC50"/>
      <c r="AD50"/>
      <c r="AE50" s="26"/>
      <c r="AF50"/>
      <c r="AG50"/>
      <c r="AH50"/>
      <c r="AI50"/>
      <c r="AJ50"/>
    </row>
    <row r="51" spans="1:36" ht="20.55" customHeight="1"/>
    <row r="52" spans="1:36" s="8" customFormat="1" ht="20.55" customHeight="1">
      <c r="A52" s="19"/>
      <c r="B52" s="35"/>
      <c r="C52"/>
      <c r="D52" s="2"/>
      <c r="E52"/>
      <c r="F52"/>
      <c r="G52" s="26"/>
      <c r="H52"/>
      <c r="I52"/>
      <c r="J52"/>
      <c r="K52" s="26"/>
      <c r="L52"/>
      <c r="M52"/>
      <c r="N52" s="2"/>
      <c r="O52" s="26"/>
      <c r="P52" s="2"/>
      <c r="Q52"/>
      <c r="R52"/>
      <c r="S52" s="26"/>
      <c r="T52"/>
      <c r="U52"/>
      <c r="V52"/>
      <c r="W52" s="26"/>
      <c r="X52"/>
      <c r="Y52"/>
      <c r="Z52"/>
      <c r="AA52" s="26"/>
      <c r="AB52"/>
      <c r="AC52"/>
      <c r="AD52"/>
      <c r="AE52" s="26"/>
      <c r="AF52"/>
      <c r="AG52"/>
      <c r="AH52"/>
      <c r="AI52"/>
      <c r="AJ52"/>
    </row>
    <row r="53" spans="1:36" ht="20.55" customHeight="1"/>
    <row r="54" spans="1:36" s="8" customFormat="1" ht="20.55" customHeight="1">
      <c r="A54" s="19"/>
      <c r="B54" s="35"/>
      <c r="C54"/>
      <c r="D54" s="2"/>
      <c r="E54"/>
      <c r="F54"/>
      <c r="G54" s="26"/>
      <c r="H54"/>
      <c r="I54"/>
      <c r="J54"/>
      <c r="K54" s="26"/>
      <c r="L54"/>
      <c r="M54"/>
      <c r="N54" s="2"/>
      <c r="O54" s="26"/>
      <c r="P54" s="2"/>
      <c r="Q54"/>
      <c r="R54"/>
      <c r="S54" s="26"/>
      <c r="T54"/>
      <c r="U54"/>
      <c r="V54"/>
      <c r="W54" s="26"/>
      <c r="X54"/>
      <c r="Y54"/>
      <c r="Z54"/>
      <c r="AA54" s="26"/>
      <c r="AB54"/>
      <c r="AC54"/>
      <c r="AD54"/>
      <c r="AE54" s="26"/>
      <c r="AF54"/>
      <c r="AG54"/>
      <c r="AH54"/>
      <c r="AI54"/>
      <c r="AJ54"/>
    </row>
    <row r="55" spans="1:36" ht="20.55" customHeight="1"/>
    <row r="56" spans="1:36" s="8" customFormat="1" ht="20.55" customHeight="1">
      <c r="A56" s="19"/>
      <c r="B56" s="35"/>
      <c r="C56"/>
      <c r="D56" s="2"/>
      <c r="E56"/>
      <c r="F56"/>
      <c r="G56" s="26"/>
      <c r="H56"/>
      <c r="I56"/>
      <c r="J56"/>
      <c r="K56" s="26"/>
      <c r="L56"/>
      <c r="M56"/>
      <c r="N56" s="2"/>
      <c r="O56" s="26"/>
      <c r="P56" s="2"/>
      <c r="Q56"/>
      <c r="R56"/>
      <c r="S56" s="26"/>
      <c r="T56"/>
      <c r="U56"/>
      <c r="V56"/>
      <c r="W56" s="26"/>
      <c r="X56"/>
      <c r="Y56"/>
      <c r="Z56"/>
      <c r="AA56" s="26"/>
      <c r="AB56"/>
      <c r="AC56"/>
      <c r="AD56"/>
      <c r="AE56" s="26"/>
      <c r="AF56"/>
      <c r="AG56"/>
      <c r="AH56"/>
      <c r="AI56"/>
      <c r="AJ56"/>
    </row>
    <row r="57" spans="1:36" ht="20.55" customHeight="1"/>
    <row r="58" spans="1:36" s="8" customFormat="1" ht="20.55" customHeight="1">
      <c r="A58" s="19"/>
      <c r="B58" s="35"/>
      <c r="C58"/>
      <c r="D58" s="2"/>
      <c r="E58"/>
      <c r="F58"/>
      <c r="G58" s="26"/>
      <c r="H58"/>
      <c r="I58"/>
      <c r="J58"/>
      <c r="K58" s="26"/>
      <c r="L58"/>
      <c r="M58"/>
      <c r="N58" s="2"/>
      <c r="O58" s="26"/>
      <c r="P58" s="2"/>
      <c r="Q58"/>
      <c r="R58"/>
      <c r="S58" s="26"/>
      <c r="T58"/>
      <c r="U58"/>
      <c r="V58"/>
      <c r="W58" s="26"/>
      <c r="X58"/>
      <c r="Y58"/>
      <c r="Z58"/>
      <c r="AA58" s="26"/>
      <c r="AB58"/>
      <c r="AC58"/>
      <c r="AD58"/>
      <c r="AE58" s="26"/>
      <c r="AF58"/>
      <c r="AG58"/>
      <c r="AH58"/>
      <c r="AI58"/>
      <c r="AJ58"/>
    </row>
  </sheetData>
  <autoFilter ref="A1:AJ18" xr:uid="{83CF93B3-C431-49F1-A590-E27AEBEF8623}"/>
  <sortState xmlns:xlrd2="http://schemas.microsoft.com/office/spreadsheetml/2017/richdata2" ref="A2:AJ118">
    <sortCondition ref="AI2:AI118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93B3-C431-49F1-A590-E27AEBEF8623}">
  <dimension ref="A1:AJ121"/>
  <sheetViews>
    <sheetView view="pageBreakPreview" zoomScale="89" zoomScaleNormal="100" zoomScaleSheetLayoutView="89" workbookViewId="0">
      <pane ySplit="1" topLeftCell="A2" activePane="bottomLeft" state="frozen"/>
      <selection activeCell="C1" sqref="C1"/>
      <selection pane="bottomLeft" activeCell="AA12" sqref="AA12"/>
    </sheetView>
  </sheetViews>
  <sheetFormatPr defaultColWidth="8.77734375" defaultRowHeight="14.4"/>
  <cols>
    <col min="1" max="1" width="8.77734375" style="19"/>
    <col min="2" max="2" width="8.77734375" style="35"/>
    <col min="3" max="3" width="17.44140625" style="2" customWidth="1"/>
    <col min="4" max="4" width="8.77734375" style="2"/>
    <col min="5" max="5" width="9.77734375" style="2" customWidth="1"/>
    <col min="6" max="6" width="14" style="2" bestFit="1" customWidth="1"/>
    <col min="7" max="7" width="9.77734375" style="97" customWidth="1"/>
    <col min="8" max="8" width="11.44140625" style="2" customWidth="1"/>
    <col min="9" max="9" width="15.6640625" style="2" customWidth="1"/>
    <col min="10" max="10" width="14" style="2" bestFit="1" customWidth="1"/>
    <col min="11" max="11" width="15.6640625" style="97" customWidth="1"/>
    <col min="12" max="12" width="11.33203125" style="2" customWidth="1"/>
    <col min="13" max="13" width="11.44140625" style="2" bestFit="1" customWidth="1"/>
    <col min="14" max="14" width="14" style="2" bestFit="1" customWidth="1"/>
    <col min="15" max="15" width="11.44140625" style="97" customWidth="1"/>
    <col min="16" max="16" width="9.6640625" style="2" bestFit="1" customWidth="1"/>
    <col min="17" max="17" width="11.44140625" style="2" bestFit="1" customWidth="1"/>
    <col min="18" max="18" width="14" style="2" bestFit="1" customWidth="1"/>
    <col min="19" max="19" width="11.44140625" style="97" customWidth="1"/>
    <col min="20" max="20" width="12.109375" style="2" customWidth="1"/>
    <col min="21" max="21" width="11.44140625" style="2" bestFit="1" customWidth="1"/>
    <col min="22" max="22" width="14" style="2" bestFit="1" customWidth="1"/>
    <col min="23" max="23" width="11.44140625" style="97" customWidth="1"/>
    <col min="24" max="24" width="12.6640625" style="2" customWidth="1"/>
    <col min="25" max="25" width="11.44140625" style="2" bestFit="1" customWidth="1"/>
    <col min="26" max="26" width="14" style="2" bestFit="1" customWidth="1"/>
    <col min="27" max="27" width="11.44140625" style="97" customWidth="1"/>
    <col min="28" max="28" width="12.6640625" style="2" customWidth="1"/>
    <col min="29" max="29" width="14.33203125" style="2" bestFit="1" customWidth="1"/>
    <col min="30" max="30" width="11.44140625" style="2" bestFit="1" customWidth="1"/>
    <col min="31" max="31" width="11.44140625" style="97" customWidth="1"/>
    <col min="32" max="32" width="16.33203125" style="2" bestFit="1" customWidth="1"/>
    <col min="33" max="33" width="12.77734375" style="2" customWidth="1"/>
    <col min="34" max="34" width="14.44140625" style="2" customWidth="1"/>
    <col min="35" max="35" width="12.77734375" style="2" customWidth="1"/>
    <col min="36" max="36" width="19.6640625" style="2" customWidth="1"/>
    <col min="37" max="16384" width="8.77734375" style="2"/>
  </cols>
  <sheetData>
    <row r="1" spans="1:36" s="93" customFormat="1" ht="75" customHeight="1">
      <c r="A1" s="12"/>
      <c r="B1" s="17" t="s">
        <v>0</v>
      </c>
      <c r="C1" s="13" t="s">
        <v>1</v>
      </c>
      <c r="D1" s="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9" customFormat="1" ht="19.2" customHeight="1">
      <c r="A2" s="20" t="s">
        <v>18</v>
      </c>
      <c r="B2" s="28" t="s">
        <v>198</v>
      </c>
      <c r="C2" s="29" t="s">
        <v>199</v>
      </c>
      <c r="D2" s="29" t="s">
        <v>21</v>
      </c>
      <c r="E2" s="30">
        <v>0.31944444444444448</v>
      </c>
      <c r="F2" s="30">
        <v>0.33333333333333331</v>
      </c>
      <c r="G2" s="30">
        <f t="shared" ref="G2:G33" si="0">SUM(F2-E2)</f>
        <v>1.388888888888884E-2</v>
      </c>
      <c r="H2" s="31">
        <v>180</v>
      </c>
      <c r="I2" s="30">
        <v>0.33611111111111108</v>
      </c>
      <c r="J2" s="30">
        <v>0.375</v>
      </c>
      <c r="K2" s="30">
        <f t="shared" ref="K2:K33" si="1">SUM(J2-I2)</f>
        <v>3.8888888888888917E-2</v>
      </c>
      <c r="L2" s="31">
        <v>80</v>
      </c>
      <c r="M2" s="30">
        <v>0.37708333333333338</v>
      </c>
      <c r="N2" s="30">
        <v>0.41666666666666669</v>
      </c>
      <c r="O2" s="30">
        <f t="shared" ref="O2:O33" si="2">SUM(N2-M2)</f>
        <v>3.9583333333333304E-2</v>
      </c>
      <c r="P2" s="31">
        <v>100</v>
      </c>
      <c r="Q2" s="30">
        <v>0.4201388888888889</v>
      </c>
      <c r="R2" s="30">
        <v>0.4375</v>
      </c>
      <c r="S2" s="30">
        <f t="shared" ref="S2:S33" si="3">SUM(R2-Q2)</f>
        <v>1.7361111111111105E-2</v>
      </c>
      <c r="T2" s="31">
        <v>110</v>
      </c>
      <c r="U2" s="30">
        <v>0.44097222222222227</v>
      </c>
      <c r="V2" s="30">
        <v>0.45833333333333331</v>
      </c>
      <c r="W2" s="30">
        <f t="shared" ref="W2:W33" si="4">SUM(V2-U2)</f>
        <v>1.7361111111111049E-2</v>
      </c>
      <c r="X2" s="31">
        <v>110</v>
      </c>
      <c r="Y2" s="30">
        <v>0.46111111111111108</v>
      </c>
      <c r="Z2" s="30">
        <v>0.47916666666666669</v>
      </c>
      <c r="AA2" s="30">
        <f t="shared" ref="AA2:AA33" si="5">SUM(Z2-Y2)</f>
        <v>1.8055555555555602E-2</v>
      </c>
      <c r="AB2" s="31">
        <v>-5</v>
      </c>
      <c r="AC2" s="30">
        <v>0.4826388888888889</v>
      </c>
      <c r="AD2" s="30">
        <v>0.48958333333333331</v>
      </c>
      <c r="AE2" s="30">
        <f t="shared" ref="AE2:AE33" si="6">SUM(AD2-AC2)</f>
        <v>6.9444444444444198E-3</v>
      </c>
      <c r="AF2" s="37">
        <f t="shared" ref="AF2:AF33" si="7">SUM(G2+K2+O2+S2+W2+AA2+AE2)</f>
        <v>0.15208333333333324</v>
      </c>
      <c r="AG2" s="31">
        <f t="shared" ref="AG2:AG33" si="8">SUM(H2+L2+P2+T2+X2-AB2)</f>
        <v>585</v>
      </c>
      <c r="AH2" s="37">
        <f t="shared" ref="AH2:AH33" si="9">AG2/85400</f>
        <v>6.8501170960187357E-3</v>
      </c>
      <c r="AI2" s="37">
        <f t="shared" ref="AI2:AI33" si="10">SUM(AF2+AH2)</f>
        <v>0.15893345042935197</v>
      </c>
      <c r="AJ2" s="41"/>
    </row>
    <row r="3" spans="1:36">
      <c r="A3" s="20" t="s">
        <v>18</v>
      </c>
      <c r="B3" s="45" t="s">
        <v>192</v>
      </c>
      <c r="C3" s="46" t="s">
        <v>200</v>
      </c>
      <c r="D3" s="46" t="s">
        <v>186</v>
      </c>
      <c r="E3" s="32">
        <v>0.31944444444444448</v>
      </c>
      <c r="F3" s="32">
        <v>0.3347222222222222</v>
      </c>
      <c r="G3" s="30">
        <f t="shared" si="0"/>
        <v>1.5277777777777724E-2</v>
      </c>
      <c r="H3" s="33">
        <v>75</v>
      </c>
      <c r="I3" s="32">
        <v>0.33680555555555558</v>
      </c>
      <c r="J3" s="32">
        <v>0.37847222222222227</v>
      </c>
      <c r="K3" s="30">
        <f t="shared" si="1"/>
        <v>4.1666666666666685E-2</v>
      </c>
      <c r="L3" s="33">
        <v>85</v>
      </c>
      <c r="M3" s="32">
        <v>0.38263888888888892</v>
      </c>
      <c r="N3" s="32">
        <v>0.41319444444444442</v>
      </c>
      <c r="O3" s="30">
        <f t="shared" si="2"/>
        <v>3.0555555555555503E-2</v>
      </c>
      <c r="P3" s="33">
        <v>95</v>
      </c>
      <c r="Q3" s="32">
        <v>0.4201388888888889</v>
      </c>
      <c r="R3" s="32">
        <v>0.44097222222222227</v>
      </c>
      <c r="S3" s="30">
        <f t="shared" si="3"/>
        <v>2.083333333333337E-2</v>
      </c>
      <c r="T3" s="33">
        <v>115</v>
      </c>
      <c r="U3" s="32">
        <v>0.44444444444444442</v>
      </c>
      <c r="V3" s="32">
        <v>0.46180555555555558</v>
      </c>
      <c r="W3" s="30">
        <f t="shared" si="4"/>
        <v>1.736111111111116E-2</v>
      </c>
      <c r="X3" s="33">
        <v>105</v>
      </c>
      <c r="Y3" s="32">
        <v>0.46527777777777773</v>
      </c>
      <c r="Z3" s="32">
        <v>0.4826388888888889</v>
      </c>
      <c r="AA3" s="30">
        <f t="shared" si="5"/>
        <v>1.736111111111116E-2</v>
      </c>
      <c r="AB3" s="33">
        <v>0</v>
      </c>
      <c r="AC3" s="30">
        <v>0.48402777777777778</v>
      </c>
      <c r="AD3" s="30">
        <v>0.49652777777777773</v>
      </c>
      <c r="AE3" s="30">
        <f t="shared" si="6"/>
        <v>1.2499999999999956E-2</v>
      </c>
      <c r="AF3" s="37">
        <f t="shared" si="7"/>
        <v>0.15555555555555556</v>
      </c>
      <c r="AG3" s="31">
        <f t="shared" si="8"/>
        <v>475</v>
      </c>
      <c r="AH3" s="37">
        <f t="shared" si="9"/>
        <v>5.5620608899297425E-3</v>
      </c>
      <c r="AI3" s="37">
        <f t="shared" si="10"/>
        <v>0.16111761644548531</v>
      </c>
      <c r="AJ3" s="41"/>
    </row>
    <row r="4" spans="1:36" s="94" customFormat="1">
      <c r="A4" s="20" t="s">
        <v>18</v>
      </c>
      <c r="B4" s="28" t="s">
        <v>195</v>
      </c>
      <c r="C4" s="29" t="s">
        <v>201</v>
      </c>
      <c r="D4" s="29" t="s">
        <v>21</v>
      </c>
      <c r="E4" s="30">
        <v>0.31944444444444448</v>
      </c>
      <c r="F4" s="30">
        <v>0.33402777777777781</v>
      </c>
      <c r="G4" s="30">
        <f t="shared" si="0"/>
        <v>1.4583333333333337E-2</v>
      </c>
      <c r="H4" s="31">
        <v>180</v>
      </c>
      <c r="I4" s="30">
        <v>0.3354166666666667</v>
      </c>
      <c r="J4" s="30">
        <v>0.37361111111111112</v>
      </c>
      <c r="K4" s="30">
        <f t="shared" si="1"/>
        <v>3.819444444444442E-2</v>
      </c>
      <c r="L4" s="31">
        <v>180</v>
      </c>
      <c r="M4" s="30">
        <v>0.37847222222222227</v>
      </c>
      <c r="N4" s="30">
        <v>0.4152777777777778</v>
      </c>
      <c r="O4" s="30">
        <f t="shared" si="2"/>
        <v>3.6805555555555536E-2</v>
      </c>
      <c r="P4" s="31">
        <v>180</v>
      </c>
      <c r="Q4" s="30">
        <v>0.41805555555555557</v>
      </c>
      <c r="R4" s="30">
        <v>0.43402777777777773</v>
      </c>
      <c r="S4" s="30">
        <f t="shared" si="3"/>
        <v>1.5972222222222165E-2</v>
      </c>
      <c r="T4" s="31">
        <v>180</v>
      </c>
      <c r="U4" s="30">
        <v>0.4375</v>
      </c>
      <c r="V4" s="30">
        <v>0.45763888888888887</v>
      </c>
      <c r="W4" s="30">
        <f t="shared" si="4"/>
        <v>2.0138888888888873E-2</v>
      </c>
      <c r="X4" s="31">
        <v>180</v>
      </c>
      <c r="Y4" s="30">
        <v>0.46388888888888885</v>
      </c>
      <c r="Z4" s="30">
        <v>0.4777777777777778</v>
      </c>
      <c r="AA4" s="30">
        <f t="shared" si="5"/>
        <v>1.3888888888888951E-2</v>
      </c>
      <c r="AB4" s="31">
        <v>0</v>
      </c>
      <c r="AC4" s="30">
        <v>0.48125000000000001</v>
      </c>
      <c r="AD4" s="30">
        <v>0.4861111111111111</v>
      </c>
      <c r="AE4" s="30">
        <f t="shared" si="6"/>
        <v>4.8611111111110938E-3</v>
      </c>
      <c r="AF4" s="37">
        <f t="shared" si="7"/>
        <v>0.14444444444444438</v>
      </c>
      <c r="AG4" s="31">
        <f t="shared" si="8"/>
        <v>900</v>
      </c>
      <c r="AH4" s="37">
        <f t="shared" si="9"/>
        <v>1.0538641686182669E-2</v>
      </c>
      <c r="AI4" s="37">
        <f t="shared" si="10"/>
        <v>0.15498308613062706</v>
      </c>
      <c r="AJ4" s="41"/>
    </row>
    <row r="5" spans="1:36">
      <c r="A5" s="20" t="s">
        <v>18</v>
      </c>
      <c r="B5" s="42" t="s">
        <v>202</v>
      </c>
      <c r="C5" s="43" t="s">
        <v>203</v>
      </c>
      <c r="D5" s="43" t="s">
        <v>147</v>
      </c>
      <c r="E5" s="38"/>
      <c r="F5" s="38"/>
      <c r="G5" s="30">
        <f t="shared" si="0"/>
        <v>0</v>
      </c>
      <c r="H5" s="39"/>
      <c r="I5" s="38"/>
      <c r="J5" s="38"/>
      <c r="K5" s="30">
        <f t="shared" si="1"/>
        <v>0</v>
      </c>
      <c r="L5" s="39"/>
      <c r="M5" s="38"/>
      <c r="N5" s="38"/>
      <c r="O5" s="30">
        <f t="shared" si="2"/>
        <v>0</v>
      </c>
      <c r="P5" s="39"/>
      <c r="Q5" s="38"/>
      <c r="R5" s="38"/>
      <c r="S5" s="30">
        <f t="shared" si="3"/>
        <v>0</v>
      </c>
      <c r="T5" s="39"/>
      <c r="U5" s="38"/>
      <c r="V5" s="38"/>
      <c r="W5" s="30">
        <f t="shared" si="4"/>
        <v>0</v>
      </c>
      <c r="X5" s="39"/>
      <c r="Y5" s="38"/>
      <c r="Z5" s="38"/>
      <c r="AA5" s="30">
        <f t="shared" si="5"/>
        <v>0</v>
      </c>
      <c r="AB5" s="39"/>
      <c r="AC5" s="30"/>
      <c r="AD5" s="30"/>
      <c r="AE5" s="30">
        <f t="shared" si="6"/>
        <v>0</v>
      </c>
      <c r="AF5" s="37">
        <f t="shared" si="7"/>
        <v>0</v>
      </c>
      <c r="AG5" s="31">
        <f t="shared" si="8"/>
        <v>0</v>
      </c>
      <c r="AH5" s="37">
        <f t="shared" si="9"/>
        <v>0</v>
      </c>
      <c r="AI5" s="37">
        <f t="shared" si="10"/>
        <v>0</v>
      </c>
      <c r="AJ5" s="41"/>
    </row>
    <row r="6" spans="1:36" s="9" customFormat="1">
      <c r="A6" s="20" t="s">
        <v>18</v>
      </c>
      <c r="B6" s="44">
        <v>5</v>
      </c>
      <c r="C6" s="43" t="s">
        <v>204</v>
      </c>
      <c r="D6" s="43" t="s">
        <v>147</v>
      </c>
      <c r="E6" s="38"/>
      <c r="F6" s="38"/>
      <c r="G6" s="30">
        <f t="shared" si="0"/>
        <v>0</v>
      </c>
      <c r="H6" s="39"/>
      <c r="I6" s="38"/>
      <c r="J6" s="38"/>
      <c r="K6" s="30">
        <f t="shared" si="1"/>
        <v>0</v>
      </c>
      <c r="L6" s="39"/>
      <c r="M6" s="38"/>
      <c r="N6" s="38"/>
      <c r="O6" s="30">
        <f t="shared" si="2"/>
        <v>0</v>
      </c>
      <c r="P6" s="39"/>
      <c r="Q6" s="38"/>
      <c r="R6" s="38"/>
      <c r="S6" s="30">
        <f t="shared" si="3"/>
        <v>0</v>
      </c>
      <c r="T6" s="39"/>
      <c r="U6" s="38"/>
      <c r="V6" s="38"/>
      <c r="W6" s="30">
        <f t="shared" si="4"/>
        <v>0</v>
      </c>
      <c r="X6" s="39"/>
      <c r="Y6" s="38"/>
      <c r="Z6" s="38"/>
      <c r="AA6" s="30">
        <f t="shared" si="5"/>
        <v>0</v>
      </c>
      <c r="AB6" s="39"/>
      <c r="AC6" s="30"/>
      <c r="AD6" s="30"/>
      <c r="AE6" s="30">
        <f t="shared" si="6"/>
        <v>0</v>
      </c>
      <c r="AF6" s="37">
        <f t="shared" si="7"/>
        <v>0</v>
      </c>
      <c r="AG6" s="31">
        <f t="shared" si="8"/>
        <v>0</v>
      </c>
      <c r="AH6" s="37">
        <f t="shared" si="9"/>
        <v>0</v>
      </c>
      <c r="AI6" s="37">
        <f t="shared" si="10"/>
        <v>0</v>
      </c>
      <c r="AJ6" s="41"/>
    </row>
    <row r="7" spans="1:36">
      <c r="A7" s="48" t="s">
        <v>29</v>
      </c>
      <c r="B7" s="28" t="s">
        <v>205</v>
      </c>
      <c r="C7" s="40" t="s">
        <v>206</v>
      </c>
      <c r="D7" s="40" t="s">
        <v>21</v>
      </c>
      <c r="E7" s="38"/>
      <c r="F7" s="38"/>
      <c r="G7" s="30">
        <f t="shared" si="0"/>
        <v>0</v>
      </c>
      <c r="H7" s="39"/>
      <c r="I7" s="38"/>
      <c r="J7" s="38"/>
      <c r="K7" s="30">
        <f t="shared" si="1"/>
        <v>0</v>
      </c>
      <c r="L7" s="39"/>
      <c r="M7" s="38"/>
      <c r="N7" s="38"/>
      <c r="O7" s="30">
        <f t="shared" si="2"/>
        <v>0</v>
      </c>
      <c r="P7" s="39"/>
      <c r="Q7" s="38"/>
      <c r="R7" s="38"/>
      <c r="S7" s="30">
        <f t="shared" si="3"/>
        <v>0</v>
      </c>
      <c r="T7" s="39"/>
      <c r="U7" s="38"/>
      <c r="V7" s="38"/>
      <c r="W7" s="30">
        <f t="shared" si="4"/>
        <v>0</v>
      </c>
      <c r="X7" s="39"/>
      <c r="Y7" s="38"/>
      <c r="Z7" s="38"/>
      <c r="AA7" s="30">
        <f t="shared" si="5"/>
        <v>0</v>
      </c>
      <c r="AB7" s="39"/>
      <c r="AC7" s="30"/>
      <c r="AD7" s="30"/>
      <c r="AE7" s="30">
        <f t="shared" si="6"/>
        <v>0</v>
      </c>
      <c r="AF7" s="37">
        <f t="shared" si="7"/>
        <v>0</v>
      </c>
      <c r="AG7" s="31">
        <f t="shared" si="8"/>
        <v>0</v>
      </c>
      <c r="AH7" s="37">
        <f t="shared" si="9"/>
        <v>0</v>
      </c>
      <c r="AI7" s="37">
        <f t="shared" si="10"/>
        <v>0</v>
      </c>
      <c r="AJ7" s="41"/>
    </row>
    <row r="8" spans="1:36" s="36" customFormat="1">
      <c r="A8" s="48" t="s">
        <v>29</v>
      </c>
      <c r="B8" s="45" t="s">
        <v>182</v>
      </c>
      <c r="C8" s="47" t="s">
        <v>207</v>
      </c>
      <c r="D8" s="47" t="s">
        <v>186</v>
      </c>
      <c r="E8" s="38"/>
      <c r="F8" s="38"/>
      <c r="G8" s="30">
        <f t="shared" si="0"/>
        <v>0</v>
      </c>
      <c r="H8" s="39"/>
      <c r="I8" s="38"/>
      <c r="J8" s="38"/>
      <c r="K8" s="30">
        <f t="shared" si="1"/>
        <v>0</v>
      </c>
      <c r="L8" s="39"/>
      <c r="M8" s="38"/>
      <c r="N8" s="38"/>
      <c r="O8" s="30">
        <f t="shared" si="2"/>
        <v>0</v>
      </c>
      <c r="P8" s="39"/>
      <c r="Q8" s="38"/>
      <c r="R8" s="38"/>
      <c r="S8" s="30">
        <f t="shared" si="3"/>
        <v>0</v>
      </c>
      <c r="T8" s="39"/>
      <c r="U8" s="38"/>
      <c r="V8" s="38"/>
      <c r="W8" s="30">
        <f t="shared" si="4"/>
        <v>0</v>
      </c>
      <c r="X8" s="39"/>
      <c r="Y8" s="38"/>
      <c r="Z8" s="38"/>
      <c r="AA8" s="30">
        <f t="shared" si="5"/>
        <v>0</v>
      </c>
      <c r="AB8" s="39"/>
      <c r="AC8" s="30"/>
      <c r="AD8" s="30"/>
      <c r="AE8" s="30">
        <f t="shared" si="6"/>
        <v>0</v>
      </c>
      <c r="AF8" s="37">
        <f t="shared" si="7"/>
        <v>0</v>
      </c>
      <c r="AG8" s="31">
        <f t="shared" si="8"/>
        <v>0</v>
      </c>
      <c r="AH8" s="37">
        <f t="shared" si="9"/>
        <v>0</v>
      </c>
      <c r="AI8" s="37">
        <f t="shared" si="10"/>
        <v>0</v>
      </c>
      <c r="AJ8" s="41"/>
    </row>
    <row r="9" spans="1:36">
      <c r="A9" s="48" t="s">
        <v>29</v>
      </c>
      <c r="B9" s="28" t="s">
        <v>208</v>
      </c>
      <c r="C9" s="40" t="s">
        <v>209</v>
      </c>
      <c r="D9" s="40" t="s">
        <v>21</v>
      </c>
      <c r="E9" s="38"/>
      <c r="F9" s="38"/>
      <c r="G9" s="30">
        <f t="shared" si="0"/>
        <v>0</v>
      </c>
      <c r="H9" s="39"/>
      <c r="I9" s="38"/>
      <c r="J9" s="38"/>
      <c r="K9" s="30">
        <f t="shared" si="1"/>
        <v>0</v>
      </c>
      <c r="L9" s="39"/>
      <c r="M9" s="38"/>
      <c r="N9" s="38"/>
      <c r="O9" s="30">
        <f t="shared" si="2"/>
        <v>0</v>
      </c>
      <c r="P9" s="39"/>
      <c r="Q9" s="38"/>
      <c r="R9" s="38"/>
      <c r="S9" s="30">
        <f t="shared" si="3"/>
        <v>0</v>
      </c>
      <c r="T9" s="39"/>
      <c r="U9" s="38"/>
      <c r="V9" s="38"/>
      <c r="W9" s="30">
        <f t="shared" si="4"/>
        <v>0</v>
      </c>
      <c r="X9" s="39"/>
      <c r="Y9" s="38"/>
      <c r="Z9" s="38"/>
      <c r="AA9" s="30">
        <f t="shared" si="5"/>
        <v>0</v>
      </c>
      <c r="AB9" s="39"/>
      <c r="AC9" s="30"/>
      <c r="AD9" s="30"/>
      <c r="AE9" s="30">
        <f t="shared" si="6"/>
        <v>0</v>
      </c>
      <c r="AF9" s="37">
        <f t="shared" si="7"/>
        <v>0</v>
      </c>
      <c r="AG9" s="31">
        <f t="shared" si="8"/>
        <v>0</v>
      </c>
      <c r="AH9" s="37">
        <f t="shared" si="9"/>
        <v>0</v>
      </c>
      <c r="AI9" s="37">
        <f t="shared" si="10"/>
        <v>0</v>
      </c>
      <c r="AJ9" s="41"/>
    </row>
    <row r="10" spans="1:36" s="9" customFormat="1">
      <c r="A10" s="48" t="s">
        <v>29</v>
      </c>
      <c r="B10" s="45" t="s">
        <v>210</v>
      </c>
      <c r="C10" s="46" t="s">
        <v>211</v>
      </c>
      <c r="D10" s="46" t="s">
        <v>186</v>
      </c>
      <c r="E10" s="38"/>
      <c r="F10" s="38"/>
      <c r="G10" s="30">
        <f t="shared" si="0"/>
        <v>0</v>
      </c>
      <c r="H10" s="39"/>
      <c r="I10" s="38"/>
      <c r="J10" s="38"/>
      <c r="K10" s="30">
        <f t="shared" si="1"/>
        <v>0</v>
      </c>
      <c r="L10" s="39"/>
      <c r="M10" s="38"/>
      <c r="N10" s="38"/>
      <c r="O10" s="30">
        <f t="shared" si="2"/>
        <v>0</v>
      </c>
      <c r="P10" s="39"/>
      <c r="Q10" s="38"/>
      <c r="R10" s="38"/>
      <c r="S10" s="30">
        <f t="shared" si="3"/>
        <v>0</v>
      </c>
      <c r="T10" s="39"/>
      <c r="U10" s="38"/>
      <c r="V10" s="38"/>
      <c r="W10" s="30">
        <f t="shared" si="4"/>
        <v>0</v>
      </c>
      <c r="X10" s="39"/>
      <c r="Y10" s="38"/>
      <c r="Z10" s="38"/>
      <c r="AA10" s="30">
        <f t="shared" si="5"/>
        <v>0</v>
      </c>
      <c r="AB10" s="39"/>
      <c r="AC10" s="30"/>
      <c r="AD10" s="30"/>
      <c r="AE10" s="30">
        <f t="shared" si="6"/>
        <v>0</v>
      </c>
      <c r="AF10" s="37">
        <f t="shared" si="7"/>
        <v>0</v>
      </c>
      <c r="AG10" s="31">
        <f t="shared" si="8"/>
        <v>0</v>
      </c>
      <c r="AH10" s="37">
        <f t="shared" si="9"/>
        <v>0</v>
      </c>
      <c r="AI10" s="37">
        <f t="shared" si="10"/>
        <v>0</v>
      </c>
      <c r="AJ10" s="41"/>
    </row>
    <row r="11" spans="1:36">
      <c r="A11" s="48" t="s">
        <v>29</v>
      </c>
      <c r="B11" s="42" t="s">
        <v>212</v>
      </c>
      <c r="C11" s="43" t="s">
        <v>213</v>
      </c>
      <c r="D11" s="43" t="s">
        <v>147</v>
      </c>
      <c r="E11" s="38"/>
      <c r="F11" s="38"/>
      <c r="G11" s="30">
        <f t="shared" si="0"/>
        <v>0</v>
      </c>
      <c r="H11" s="39"/>
      <c r="I11" s="38"/>
      <c r="J11" s="38"/>
      <c r="K11" s="30">
        <f t="shared" si="1"/>
        <v>0</v>
      </c>
      <c r="L11" s="39"/>
      <c r="M11" s="38"/>
      <c r="N11" s="38"/>
      <c r="O11" s="30">
        <f t="shared" si="2"/>
        <v>0</v>
      </c>
      <c r="P11" s="39"/>
      <c r="Q11" s="38"/>
      <c r="R11" s="38"/>
      <c r="S11" s="30">
        <f t="shared" si="3"/>
        <v>0</v>
      </c>
      <c r="T11" s="39"/>
      <c r="U11" s="38"/>
      <c r="V11" s="38"/>
      <c r="W11" s="30">
        <f t="shared" si="4"/>
        <v>0</v>
      </c>
      <c r="X11" s="39"/>
      <c r="Y11" s="38"/>
      <c r="Z11" s="38"/>
      <c r="AA11" s="30">
        <f t="shared" si="5"/>
        <v>0</v>
      </c>
      <c r="AB11" s="39"/>
      <c r="AC11" s="30"/>
      <c r="AD11" s="30"/>
      <c r="AE11" s="30">
        <f t="shared" si="6"/>
        <v>0</v>
      </c>
      <c r="AF11" s="37">
        <f t="shared" si="7"/>
        <v>0</v>
      </c>
      <c r="AG11" s="31">
        <f t="shared" si="8"/>
        <v>0</v>
      </c>
      <c r="AH11" s="37">
        <f t="shared" si="9"/>
        <v>0</v>
      </c>
      <c r="AI11" s="37">
        <f t="shared" si="10"/>
        <v>0</v>
      </c>
      <c r="AJ11" s="41"/>
    </row>
    <row r="12" spans="1:36" s="94" customFormat="1" ht="22.2" customHeight="1">
      <c r="A12" s="22" t="s">
        <v>36</v>
      </c>
      <c r="B12" s="101" t="s">
        <v>214</v>
      </c>
      <c r="C12" s="102" t="s">
        <v>215</v>
      </c>
      <c r="D12" s="102" t="s">
        <v>186</v>
      </c>
      <c r="E12" s="103">
        <v>0.42083333333333334</v>
      </c>
      <c r="F12" s="103">
        <f t="shared" ref="F12:F20" si="11">TIME(10,10,1)</f>
        <v>0.4236226851851852</v>
      </c>
      <c r="G12" s="104">
        <f t="shared" si="0"/>
        <v>2.7893518518518623E-3</v>
      </c>
      <c r="H12" s="107">
        <v>133.59</v>
      </c>
      <c r="I12" s="103">
        <v>0.52500000000000002</v>
      </c>
      <c r="J12" s="103">
        <v>0.53333333333333333</v>
      </c>
      <c r="K12" s="104">
        <f t="shared" si="1"/>
        <v>8.3333333333333037E-3</v>
      </c>
      <c r="L12" s="107">
        <v>98.61</v>
      </c>
      <c r="M12" s="103">
        <v>9.4444444444444442E-2</v>
      </c>
      <c r="N12" s="103">
        <v>0.1013888888888889</v>
      </c>
      <c r="O12" s="104">
        <f t="shared" si="2"/>
        <v>6.9444444444444614E-3</v>
      </c>
      <c r="P12" s="107">
        <v>193</v>
      </c>
      <c r="Q12" s="103">
        <v>0.18055555555555555</v>
      </c>
      <c r="R12" s="103">
        <v>0.18680555555555556</v>
      </c>
      <c r="S12" s="104">
        <f t="shared" si="3"/>
        <v>6.2500000000000056E-3</v>
      </c>
      <c r="T12" s="107">
        <v>170</v>
      </c>
      <c r="U12" s="103">
        <v>0.20972222222222223</v>
      </c>
      <c r="V12" s="103">
        <v>0.21388888888888891</v>
      </c>
      <c r="W12" s="104">
        <f t="shared" si="4"/>
        <v>4.1666666666666796E-3</v>
      </c>
      <c r="X12" s="108">
        <v>120</v>
      </c>
      <c r="Y12" s="103">
        <v>0.25347222222222221</v>
      </c>
      <c r="Z12" s="103">
        <v>0.2638888888888889</v>
      </c>
      <c r="AA12" s="104">
        <f t="shared" si="5"/>
        <v>1.0416666666666685E-2</v>
      </c>
      <c r="AB12" s="105">
        <v>-5</v>
      </c>
      <c r="AC12" s="103">
        <v>0.26597222222222222</v>
      </c>
      <c r="AD12" s="103">
        <v>0.26666666666666666</v>
      </c>
      <c r="AE12" s="104">
        <f t="shared" si="6"/>
        <v>6.9444444444444198E-4</v>
      </c>
      <c r="AF12" s="106">
        <f t="shared" si="7"/>
        <v>3.959490740740744E-2</v>
      </c>
      <c r="AG12" s="105">
        <f t="shared" si="8"/>
        <v>720.2</v>
      </c>
      <c r="AH12" s="106">
        <f t="shared" si="9"/>
        <v>8.433255269320844E-3</v>
      </c>
      <c r="AI12" s="106">
        <f t="shared" si="10"/>
        <v>4.8028162676728284E-2</v>
      </c>
      <c r="AJ12" s="7"/>
    </row>
    <row r="13" spans="1:36" ht="20.55" customHeight="1">
      <c r="A13" s="22" t="s">
        <v>36</v>
      </c>
      <c r="B13" s="42" t="s">
        <v>216</v>
      </c>
      <c r="C13" s="49" t="s">
        <v>217</v>
      </c>
      <c r="D13" s="49" t="s">
        <v>147</v>
      </c>
      <c r="E13" s="43" t="s">
        <v>218</v>
      </c>
      <c r="F13" s="100">
        <f t="shared" si="11"/>
        <v>0.4236226851851852</v>
      </c>
      <c r="G13" s="70">
        <f t="shared" si="0"/>
        <v>2.7893518518518623E-3</v>
      </c>
      <c r="H13" s="49">
        <v>116</v>
      </c>
      <c r="I13" s="100">
        <v>0.42499999999999999</v>
      </c>
      <c r="J13" s="100">
        <v>0.53333333333333333</v>
      </c>
      <c r="K13" s="70">
        <f t="shared" si="1"/>
        <v>0.10833333333333334</v>
      </c>
      <c r="L13" s="107">
        <v>69</v>
      </c>
      <c r="M13" s="100">
        <v>9.4444444444444442E-2</v>
      </c>
      <c r="N13" s="100">
        <v>0.1013888888888889</v>
      </c>
      <c r="O13" s="70">
        <f t="shared" si="2"/>
        <v>6.9444444444444614E-3</v>
      </c>
      <c r="P13" s="107">
        <v>162</v>
      </c>
      <c r="Q13" s="100">
        <v>0.18055555555555555</v>
      </c>
      <c r="R13" s="100">
        <v>0.18680555555555556</v>
      </c>
      <c r="S13" s="70">
        <f t="shared" si="3"/>
        <v>6.2500000000000056E-3</v>
      </c>
      <c r="T13" s="49">
        <v>165</v>
      </c>
      <c r="U13" s="100">
        <v>0.20972222222222223</v>
      </c>
      <c r="V13" s="100">
        <v>0.21388888888888891</v>
      </c>
      <c r="W13" s="70">
        <f t="shared" si="4"/>
        <v>4.1666666666666796E-3</v>
      </c>
      <c r="X13" s="49">
        <v>130</v>
      </c>
      <c r="Y13" s="100">
        <v>0.25277777777777777</v>
      </c>
      <c r="Z13" s="100">
        <v>0.26527777777777778</v>
      </c>
      <c r="AA13" s="70">
        <f t="shared" si="5"/>
        <v>1.2500000000000011E-2</v>
      </c>
      <c r="AB13" s="71">
        <v>0</v>
      </c>
      <c r="AC13" s="100">
        <v>0.26666666666666666</v>
      </c>
      <c r="AD13" s="100">
        <v>0.27083333333333331</v>
      </c>
      <c r="AE13" s="70">
        <f t="shared" si="6"/>
        <v>4.1666666666666519E-3</v>
      </c>
      <c r="AF13" s="72">
        <f t="shared" si="7"/>
        <v>0.14515046296296302</v>
      </c>
      <c r="AG13" s="71">
        <f t="shared" si="8"/>
        <v>642</v>
      </c>
      <c r="AH13" s="72">
        <f t="shared" si="9"/>
        <v>7.5175644028103042E-3</v>
      </c>
      <c r="AI13" s="72">
        <f t="shared" si="10"/>
        <v>0.15266802736577334</v>
      </c>
      <c r="AJ13" s="4"/>
    </row>
    <row r="14" spans="1:36" s="94" customFormat="1" ht="20.55" customHeight="1">
      <c r="A14" s="22" t="s">
        <v>36</v>
      </c>
      <c r="B14" s="28" t="s">
        <v>219</v>
      </c>
      <c r="C14" s="40" t="s">
        <v>220</v>
      </c>
      <c r="D14" s="40" t="s">
        <v>21</v>
      </c>
      <c r="E14" s="29" t="s">
        <v>218</v>
      </c>
      <c r="F14" s="99">
        <f t="shared" si="11"/>
        <v>0.4236226851851852</v>
      </c>
      <c r="G14" s="30">
        <f t="shared" si="0"/>
        <v>2.7893518518518623E-3</v>
      </c>
      <c r="H14" s="40">
        <v>126</v>
      </c>
      <c r="I14" s="99">
        <v>0.42499999999999999</v>
      </c>
      <c r="J14" s="99">
        <v>0.53333333333333333</v>
      </c>
      <c r="K14" s="30">
        <f t="shared" si="1"/>
        <v>0.10833333333333334</v>
      </c>
      <c r="L14" s="107">
        <v>73</v>
      </c>
      <c r="M14" s="99">
        <v>9.4444444444444442E-2</v>
      </c>
      <c r="N14" s="99">
        <v>0.1013888888888889</v>
      </c>
      <c r="O14" s="30">
        <f t="shared" si="2"/>
        <v>6.9444444444444614E-3</v>
      </c>
      <c r="P14" s="107">
        <v>146</v>
      </c>
      <c r="Q14" s="99">
        <v>0.18055555555555555</v>
      </c>
      <c r="R14" s="99">
        <v>0.18680555555555556</v>
      </c>
      <c r="S14" s="30">
        <f t="shared" si="3"/>
        <v>6.2500000000000056E-3</v>
      </c>
      <c r="T14" s="40">
        <v>140</v>
      </c>
      <c r="U14" s="99">
        <v>0.20972222222222223</v>
      </c>
      <c r="V14" s="99">
        <v>0.21388888888888891</v>
      </c>
      <c r="W14" s="30">
        <f t="shared" si="4"/>
        <v>4.1666666666666796E-3</v>
      </c>
      <c r="X14" s="40">
        <v>177</v>
      </c>
      <c r="Y14" s="99">
        <v>0.25347222222222221</v>
      </c>
      <c r="Z14" s="99">
        <v>0.26666666666666666</v>
      </c>
      <c r="AA14" s="30">
        <f t="shared" si="5"/>
        <v>1.3194444444444453E-2</v>
      </c>
      <c r="AB14" s="110">
        <v>0</v>
      </c>
      <c r="AC14" s="99">
        <v>0.26874999999999999</v>
      </c>
      <c r="AD14" s="99">
        <v>0.27777777777777779</v>
      </c>
      <c r="AE14" s="30">
        <f t="shared" si="6"/>
        <v>9.0277777777778012E-3</v>
      </c>
      <c r="AF14" s="37">
        <f t="shared" si="7"/>
        <v>0.15070601851851861</v>
      </c>
      <c r="AG14" s="31">
        <f t="shared" si="8"/>
        <v>662</v>
      </c>
      <c r="AH14" s="37">
        <f t="shared" si="9"/>
        <v>7.7517564402810307E-3</v>
      </c>
      <c r="AI14" s="37">
        <f t="shared" si="10"/>
        <v>0.15845777495879965</v>
      </c>
      <c r="AJ14" s="7"/>
    </row>
    <row r="15" spans="1:36" ht="20.55" customHeight="1">
      <c r="A15" s="22" t="s">
        <v>36</v>
      </c>
      <c r="B15" s="42" t="s">
        <v>221</v>
      </c>
      <c r="C15" s="49" t="s">
        <v>222</v>
      </c>
      <c r="D15" s="49" t="s">
        <v>147</v>
      </c>
      <c r="E15" s="43" t="s">
        <v>218</v>
      </c>
      <c r="F15" s="100">
        <f t="shared" si="11"/>
        <v>0.4236226851851852</v>
      </c>
      <c r="G15" s="70">
        <f t="shared" si="0"/>
        <v>2.7893518518518623E-3</v>
      </c>
      <c r="H15" s="49">
        <v>159</v>
      </c>
      <c r="I15" s="100">
        <v>0.42499999999999999</v>
      </c>
      <c r="J15" s="100">
        <v>0.53333333333333333</v>
      </c>
      <c r="K15" s="70">
        <f t="shared" si="1"/>
        <v>0.10833333333333334</v>
      </c>
      <c r="L15" s="49">
        <v>93</v>
      </c>
      <c r="M15" s="100">
        <v>9.4444444444444442E-2</v>
      </c>
      <c r="N15" s="100">
        <v>0.1013888888888889</v>
      </c>
      <c r="O15" s="70">
        <f t="shared" si="2"/>
        <v>6.9444444444444614E-3</v>
      </c>
      <c r="P15" s="49">
        <v>177</v>
      </c>
      <c r="Q15" s="100">
        <v>0.18055555555555555</v>
      </c>
      <c r="R15" s="100">
        <v>0.18680555555555556</v>
      </c>
      <c r="S15" s="70">
        <f t="shared" si="3"/>
        <v>6.2500000000000056E-3</v>
      </c>
      <c r="T15" s="49">
        <v>130</v>
      </c>
      <c r="U15" s="100">
        <v>0.20972222222222223</v>
      </c>
      <c r="V15" s="100">
        <v>0.21388888888888891</v>
      </c>
      <c r="W15" s="70">
        <f t="shared" si="4"/>
        <v>4.1666666666666796E-3</v>
      </c>
      <c r="X15" s="49">
        <v>140</v>
      </c>
      <c r="Y15" s="100">
        <v>0.25416666666666665</v>
      </c>
      <c r="Z15" s="100">
        <v>0.26805555555555555</v>
      </c>
      <c r="AA15" s="70">
        <f t="shared" si="5"/>
        <v>1.3888888888888895E-2</v>
      </c>
      <c r="AB15" s="71">
        <v>-5</v>
      </c>
      <c r="AC15" s="100">
        <v>0.26944444444444443</v>
      </c>
      <c r="AD15" s="100">
        <v>0.28125</v>
      </c>
      <c r="AE15" s="70">
        <f t="shared" si="6"/>
        <v>1.1805555555555569E-2</v>
      </c>
      <c r="AF15" s="72">
        <f t="shared" si="7"/>
        <v>0.15417824074074082</v>
      </c>
      <c r="AG15" s="71">
        <f t="shared" si="8"/>
        <v>704</v>
      </c>
      <c r="AH15" s="72">
        <f t="shared" si="9"/>
        <v>8.243559718969555E-3</v>
      </c>
      <c r="AI15" s="72">
        <f t="shared" si="10"/>
        <v>0.16242180045971039</v>
      </c>
      <c r="AJ15" s="4"/>
    </row>
    <row r="16" spans="1:36" s="94" customFormat="1" ht="20.55" customHeight="1">
      <c r="A16" s="22" t="s">
        <v>36</v>
      </c>
      <c r="B16" s="28" t="s">
        <v>223</v>
      </c>
      <c r="C16" s="40" t="s">
        <v>224</v>
      </c>
      <c r="D16" s="40" t="s">
        <v>21</v>
      </c>
      <c r="E16" s="29" t="s">
        <v>218</v>
      </c>
      <c r="F16" s="99">
        <f t="shared" si="11"/>
        <v>0.4236226851851852</v>
      </c>
      <c r="G16" s="30">
        <f t="shared" si="0"/>
        <v>2.7893518518518623E-3</v>
      </c>
      <c r="H16" s="107">
        <v>106.25</v>
      </c>
      <c r="I16" s="99">
        <v>0.42499999999999999</v>
      </c>
      <c r="J16" s="99">
        <v>0.53333333333333333</v>
      </c>
      <c r="K16" s="30">
        <f t="shared" si="1"/>
        <v>0.10833333333333334</v>
      </c>
      <c r="L16" s="40">
        <v>74</v>
      </c>
      <c r="M16" s="99">
        <v>9.4444444444444442E-2</v>
      </c>
      <c r="N16" s="99">
        <v>0.1013888888888889</v>
      </c>
      <c r="O16" s="30">
        <f t="shared" si="2"/>
        <v>6.9444444444444614E-3</v>
      </c>
      <c r="P16" s="40">
        <v>153.32</v>
      </c>
      <c r="Q16" s="99">
        <v>0.18055555555555555</v>
      </c>
      <c r="R16" s="99">
        <v>0.18680555555555556</v>
      </c>
      <c r="S16" s="30">
        <f t="shared" si="3"/>
        <v>6.2500000000000056E-3</v>
      </c>
      <c r="T16" s="107">
        <v>114</v>
      </c>
      <c r="U16" s="99">
        <v>0.20972222222222223</v>
      </c>
      <c r="V16" s="99">
        <v>0.21388888888888891</v>
      </c>
      <c r="W16" s="30">
        <f t="shared" si="4"/>
        <v>4.1666666666666796E-3</v>
      </c>
      <c r="X16" s="107">
        <v>75</v>
      </c>
      <c r="Y16" s="99">
        <v>0.25486111111111109</v>
      </c>
      <c r="Z16" s="99">
        <v>0.27083333333333331</v>
      </c>
      <c r="AA16" s="30">
        <f t="shared" si="5"/>
        <v>1.5972222222222221E-2</v>
      </c>
      <c r="AB16" s="110">
        <v>0</v>
      </c>
      <c r="AC16" s="99">
        <v>0.27291666666666664</v>
      </c>
      <c r="AD16" s="99">
        <v>0.28472222222222221</v>
      </c>
      <c r="AE16" s="30">
        <f t="shared" si="6"/>
        <v>1.1805555555555569E-2</v>
      </c>
      <c r="AF16" s="37">
        <f t="shared" si="7"/>
        <v>0.15626157407407415</v>
      </c>
      <c r="AG16" s="31">
        <f t="shared" si="8"/>
        <v>522.56999999999994</v>
      </c>
      <c r="AH16" s="37">
        <f t="shared" si="9"/>
        <v>6.1190866510538637E-3</v>
      </c>
      <c r="AI16" s="37">
        <f t="shared" si="10"/>
        <v>0.16238066072512802</v>
      </c>
      <c r="AJ16" s="7"/>
    </row>
    <row r="17" spans="1:36" ht="20.55" customHeight="1">
      <c r="A17" s="23" t="s">
        <v>41</v>
      </c>
      <c r="B17" s="28" t="s">
        <v>225</v>
      </c>
      <c r="C17" s="40" t="s">
        <v>226</v>
      </c>
      <c r="D17" s="40" t="s">
        <v>21</v>
      </c>
      <c r="E17" s="29" t="s">
        <v>218</v>
      </c>
      <c r="F17" s="99">
        <f t="shared" si="11"/>
        <v>0.4236226851851852</v>
      </c>
      <c r="G17" s="30">
        <f t="shared" si="0"/>
        <v>2.7893518518518623E-3</v>
      </c>
      <c r="H17" s="109">
        <v>180</v>
      </c>
      <c r="I17" s="99">
        <v>0.42499999999999999</v>
      </c>
      <c r="J17" s="99">
        <v>0.53333333333333333</v>
      </c>
      <c r="K17" s="30">
        <f t="shared" si="1"/>
        <v>0.10833333333333334</v>
      </c>
      <c r="L17" s="40">
        <v>138.06</v>
      </c>
      <c r="M17" s="99">
        <v>9.4444444444444442E-2</v>
      </c>
      <c r="N17" s="99">
        <v>0.1013888888888889</v>
      </c>
      <c r="O17" s="30">
        <f t="shared" si="2"/>
        <v>6.9444444444444614E-3</v>
      </c>
      <c r="P17" s="40">
        <v>155</v>
      </c>
      <c r="Q17" s="99">
        <v>0.18055555555555555</v>
      </c>
      <c r="R17" s="99">
        <v>0.18680555555555556</v>
      </c>
      <c r="S17" s="30">
        <f t="shared" si="3"/>
        <v>6.2500000000000056E-3</v>
      </c>
      <c r="T17" s="40">
        <v>120</v>
      </c>
      <c r="U17" s="99">
        <v>0.20972222222222223</v>
      </c>
      <c r="V17" s="99">
        <v>0.21388888888888891</v>
      </c>
      <c r="W17" s="30">
        <f t="shared" si="4"/>
        <v>4.1666666666666796E-3</v>
      </c>
      <c r="X17" s="40">
        <v>80</v>
      </c>
      <c r="Y17" s="99">
        <v>0.25555555555555559</v>
      </c>
      <c r="Z17" s="99">
        <v>0.27291666666666664</v>
      </c>
      <c r="AA17" s="30">
        <f t="shared" si="5"/>
        <v>1.7361111111111049E-2</v>
      </c>
      <c r="AB17" s="110">
        <v>-5</v>
      </c>
      <c r="AC17" s="99">
        <v>0.27430555555555552</v>
      </c>
      <c r="AD17" s="99">
        <v>0.28819444444444448</v>
      </c>
      <c r="AE17" s="30">
        <f t="shared" si="6"/>
        <v>1.3888888888888951E-2</v>
      </c>
      <c r="AF17" s="37">
        <f t="shared" si="7"/>
        <v>0.15973379629629636</v>
      </c>
      <c r="AG17" s="31">
        <f t="shared" si="8"/>
        <v>678.06</v>
      </c>
      <c r="AH17" s="37">
        <f t="shared" si="9"/>
        <v>7.9398126463700227E-3</v>
      </c>
      <c r="AI17" s="37">
        <f t="shared" si="10"/>
        <v>0.16767360894266639</v>
      </c>
      <c r="AJ17" s="4"/>
    </row>
    <row r="18" spans="1:36" s="94" customFormat="1" ht="20.55" customHeight="1">
      <c r="A18" s="23" t="s">
        <v>41</v>
      </c>
      <c r="B18" s="28" t="s">
        <v>227</v>
      </c>
      <c r="C18" s="40" t="s">
        <v>228</v>
      </c>
      <c r="D18" s="40" t="s">
        <v>21</v>
      </c>
      <c r="E18" s="29" t="s">
        <v>218</v>
      </c>
      <c r="F18" s="99">
        <f t="shared" si="11"/>
        <v>0.4236226851851852</v>
      </c>
      <c r="G18" s="30">
        <f t="shared" si="0"/>
        <v>2.7893518518518623E-3</v>
      </c>
      <c r="H18" s="40">
        <v>125.5</v>
      </c>
      <c r="I18" s="99">
        <v>0.42499999999999999</v>
      </c>
      <c r="J18" s="99">
        <v>0.53333333333333333</v>
      </c>
      <c r="K18" s="30">
        <f t="shared" si="1"/>
        <v>0.10833333333333334</v>
      </c>
      <c r="L18" s="40">
        <v>103</v>
      </c>
      <c r="M18" s="99">
        <v>9.4444444444444442E-2</v>
      </c>
      <c r="N18" s="99">
        <v>0.1013888888888889</v>
      </c>
      <c r="O18" s="30">
        <f t="shared" si="2"/>
        <v>6.9444444444444614E-3</v>
      </c>
      <c r="P18" s="40">
        <v>183</v>
      </c>
      <c r="Q18" s="99">
        <v>0.18055555555555555</v>
      </c>
      <c r="R18" s="99">
        <v>0.18680555555555556</v>
      </c>
      <c r="S18" s="30">
        <f t="shared" si="3"/>
        <v>6.2500000000000056E-3</v>
      </c>
      <c r="T18" s="109">
        <v>180</v>
      </c>
      <c r="U18" s="99">
        <v>0.20972222222222223</v>
      </c>
      <c r="V18" s="99">
        <v>0.21388888888888891</v>
      </c>
      <c r="W18" s="30">
        <f t="shared" si="4"/>
        <v>4.1666666666666796E-3</v>
      </c>
      <c r="X18" s="40">
        <v>120</v>
      </c>
      <c r="Y18" s="99">
        <v>0.25625000000000003</v>
      </c>
      <c r="Z18" s="99">
        <v>0.27361111111111108</v>
      </c>
      <c r="AA18" s="30">
        <f t="shared" si="5"/>
        <v>1.7361111111111049E-2</v>
      </c>
      <c r="AB18" s="110">
        <v>0</v>
      </c>
      <c r="AC18" s="99">
        <v>0.27569444444444446</v>
      </c>
      <c r="AD18" s="99">
        <v>0.2902777777777778</v>
      </c>
      <c r="AE18" s="30">
        <f t="shared" si="6"/>
        <v>1.4583333333333337E-2</v>
      </c>
      <c r="AF18" s="37">
        <f t="shared" si="7"/>
        <v>0.16042824074074075</v>
      </c>
      <c r="AG18" s="31">
        <f t="shared" si="8"/>
        <v>711.5</v>
      </c>
      <c r="AH18" s="37">
        <f t="shared" si="9"/>
        <v>8.3313817330210767E-3</v>
      </c>
      <c r="AI18" s="37">
        <f t="shared" si="10"/>
        <v>0.16875962247376183</v>
      </c>
      <c r="AJ18" s="7"/>
    </row>
    <row r="19" spans="1:36" ht="20.55" customHeight="1">
      <c r="A19" s="23" t="s">
        <v>41</v>
      </c>
      <c r="B19" s="28" t="s">
        <v>229</v>
      </c>
      <c r="C19" s="40" t="s">
        <v>230</v>
      </c>
      <c r="D19" s="40" t="s">
        <v>21</v>
      </c>
      <c r="E19" s="29" t="s">
        <v>218</v>
      </c>
      <c r="F19" s="99">
        <f t="shared" si="11"/>
        <v>0.4236226851851852</v>
      </c>
      <c r="G19" s="30">
        <f t="shared" si="0"/>
        <v>2.7893518518518623E-3</v>
      </c>
      <c r="H19" s="40">
        <v>127</v>
      </c>
      <c r="I19" s="99">
        <v>0.42499999999999999</v>
      </c>
      <c r="J19" s="99">
        <v>0.53333333333333333</v>
      </c>
      <c r="K19" s="30">
        <f t="shared" si="1"/>
        <v>0.10833333333333334</v>
      </c>
      <c r="L19" s="40">
        <v>84.64</v>
      </c>
      <c r="M19" s="99">
        <v>9.4444444444444442E-2</v>
      </c>
      <c r="N19" s="99">
        <v>0.1013888888888889</v>
      </c>
      <c r="O19" s="30">
        <f t="shared" si="2"/>
        <v>6.9444444444444614E-3</v>
      </c>
      <c r="P19" s="40">
        <v>188</v>
      </c>
      <c r="Q19" s="99">
        <v>0.18055555555555555</v>
      </c>
      <c r="R19" s="99">
        <v>0.18680555555555556</v>
      </c>
      <c r="S19" s="30">
        <f t="shared" si="3"/>
        <v>6.2500000000000056E-3</v>
      </c>
      <c r="T19" s="109">
        <v>180</v>
      </c>
      <c r="U19" s="99">
        <v>0.20972222222222223</v>
      </c>
      <c r="V19" s="99">
        <v>0.21388888888888891</v>
      </c>
      <c r="W19" s="30">
        <f t="shared" si="4"/>
        <v>4.1666666666666796E-3</v>
      </c>
      <c r="X19" s="40">
        <v>125</v>
      </c>
      <c r="Y19" s="99">
        <v>0.25694444444444448</v>
      </c>
      <c r="Z19" s="99">
        <v>0.27499999999999997</v>
      </c>
      <c r="AA19" s="30">
        <f t="shared" si="5"/>
        <v>1.8055555555555491E-2</v>
      </c>
      <c r="AB19" s="110">
        <v>-5</v>
      </c>
      <c r="AC19" s="99">
        <v>0.27777777777777779</v>
      </c>
      <c r="AD19" s="99">
        <v>0.29166666666666669</v>
      </c>
      <c r="AE19" s="30">
        <f t="shared" si="6"/>
        <v>1.3888888888888895E-2</v>
      </c>
      <c r="AF19" s="37">
        <f t="shared" si="7"/>
        <v>0.16042824074074075</v>
      </c>
      <c r="AG19" s="31">
        <f t="shared" si="8"/>
        <v>709.64</v>
      </c>
      <c r="AH19" s="37">
        <f t="shared" si="9"/>
        <v>8.3096018735363004E-3</v>
      </c>
      <c r="AI19" s="37">
        <f t="shared" si="10"/>
        <v>0.16873784261427704</v>
      </c>
      <c r="AJ19" s="4"/>
    </row>
    <row r="20" spans="1:36" s="94" customFormat="1" ht="20.55" customHeight="1">
      <c r="A20" s="23" t="s">
        <v>41</v>
      </c>
      <c r="B20" s="42" t="s">
        <v>231</v>
      </c>
      <c r="C20" s="49" t="s">
        <v>232</v>
      </c>
      <c r="D20" s="49" t="s">
        <v>147</v>
      </c>
      <c r="E20" s="43" t="s">
        <v>218</v>
      </c>
      <c r="F20" s="100">
        <f t="shared" si="11"/>
        <v>0.4236226851851852</v>
      </c>
      <c r="G20" s="70">
        <f t="shared" si="0"/>
        <v>2.7893518518518623E-3</v>
      </c>
      <c r="H20" s="107">
        <v>112.78</v>
      </c>
      <c r="I20" s="100">
        <v>0.42499999999999999</v>
      </c>
      <c r="J20" s="100">
        <v>0.53333333333333333</v>
      </c>
      <c r="K20" s="70">
        <f t="shared" si="1"/>
        <v>0.10833333333333334</v>
      </c>
      <c r="L20" s="49">
        <v>85.06</v>
      </c>
      <c r="M20" s="100">
        <v>9.4444444444444442E-2</v>
      </c>
      <c r="N20" s="100">
        <v>0.1013888888888889</v>
      </c>
      <c r="O20" s="70">
        <f t="shared" si="2"/>
        <v>6.9444444444444614E-3</v>
      </c>
      <c r="P20" s="49">
        <v>177.1</v>
      </c>
      <c r="Q20" s="100">
        <v>0.18055555555555555</v>
      </c>
      <c r="R20" s="100">
        <v>0.18680555555555556</v>
      </c>
      <c r="S20" s="70">
        <f t="shared" si="3"/>
        <v>6.2500000000000056E-3</v>
      </c>
      <c r="T20" s="109">
        <v>180</v>
      </c>
      <c r="U20" s="100">
        <v>0.20972222222222223</v>
      </c>
      <c r="V20" s="100">
        <v>0.21388888888888891</v>
      </c>
      <c r="W20" s="70">
        <f t="shared" si="4"/>
        <v>4.1666666666666796E-3</v>
      </c>
      <c r="X20" s="49">
        <v>144</v>
      </c>
      <c r="Y20" s="100">
        <v>0.26041666666666669</v>
      </c>
      <c r="Z20" s="100">
        <v>0.27777777777777779</v>
      </c>
      <c r="AA20" s="70">
        <f t="shared" si="5"/>
        <v>1.7361111111111105E-2</v>
      </c>
      <c r="AB20" s="71">
        <v>0</v>
      </c>
      <c r="AC20" s="100">
        <v>0.28472222222222221</v>
      </c>
      <c r="AD20" s="100">
        <v>0.2951388888888889</v>
      </c>
      <c r="AE20" s="70">
        <f t="shared" si="6"/>
        <v>1.0416666666666685E-2</v>
      </c>
      <c r="AF20" s="72">
        <f t="shared" si="7"/>
        <v>0.15626157407407415</v>
      </c>
      <c r="AG20" s="71">
        <f t="shared" si="8"/>
        <v>698.94</v>
      </c>
      <c r="AH20" s="72">
        <f t="shared" si="9"/>
        <v>8.1843091334894615E-3</v>
      </c>
      <c r="AI20" s="72">
        <f t="shared" si="10"/>
        <v>0.16444588320756362</v>
      </c>
      <c r="AJ20" s="7"/>
    </row>
    <row r="21" spans="1:36" ht="20.55" customHeight="1">
      <c r="A21" s="23" t="s">
        <v>41</v>
      </c>
      <c r="B21" s="34"/>
      <c r="C21" s="4"/>
      <c r="D21" s="4"/>
      <c r="E21" s="91"/>
      <c r="F21" s="90"/>
      <c r="G21" s="30">
        <f t="shared" si="0"/>
        <v>0</v>
      </c>
      <c r="H21" s="4"/>
      <c r="I21" s="90"/>
      <c r="J21" s="4"/>
      <c r="K21" s="30">
        <f t="shared" si="1"/>
        <v>0</v>
      </c>
      <c r="L21" s="4"/>
      <c r="M21" s="4"/>
      <c r="N21" s="4"/>
      <c r="O21" s="30">
        <f t="shared" si="2"/>
        <v>0</v>
      </c>
      <c r="P21" s="4"/>
      <c r="Q21" s="4"/>
      <c r="R21" s="4"/>
      <c r="S21" s="30">
        <f t="shared" si="3"/>
        <v>0</v>
      </c>
      <c r="T21" s="4"/>
      <c r="U21" s="4"/>
      <c r="V21" s="4"/>
      <c r="W21" s="30">
        <f t="shared" si="4"/>
        <v>0</v>
      </c>
      <c r="X21" s="4"/>
      <c r="Y21" s="4"/>
      <c r="Z21" s="4"/>
      <c r="AA21" s="30">
        <f t="shared" si="5"/>
        <v>0</v>
      </c>
      <c r="AB21" s="71">
        <v>-5</v>
      </c>
      <c r="AC21" s="4"/>
      <c r="AD21" s="4"/>
      <c r="AE21" s="30">
        <f t="shared" si="6"/>
        <v>0</v>
      </c>
      <c r="AF21" s="37">
        <f t="shared" si="7"/>
        <v>0</v>
      </c>
      <c r="AG21" s="31">
        <f t="shared" si="8"/>
        <v>5</v>
      </c>
      <c r="AH21" s="37">
        <f t="shared" si="9"/>
        <v>5.8548009367681499E-5</v>
      </c>
      <c r="AI21" s="37">
        <f t="shared" si="10"/>
        <v>5.8548009367681499E-5</v>
      </c>
      <c r="AJ21" s="4"/>
    </row>
    <row r="22" spans="1:36" s="94" customFormat="1" ht="20.55" customHeight="1">
      <c r="A22" s="22" t="s">
        <v>46</v>
      </c>
      <c r="B22" s="18"/>
      <c r="C22" s="7"/>
      <c r="D22" s="7"/>
      <c r="E22" s="91"/>
      <c r="F22" s="90"/>
      <c r="G22" s="30">
        <f t="shared" si="0"/>
        <v>0</v>
      </c>
      <c r="H22" s="7"/>
      <c r="I22" s="90"/>
      <c r="J22" s="7"/>
      <c r="K22" s="30">
        <f t="shared" si="1"/>
        <v>0</v>
      </c>
      <c r="L22" s="7"/>
      <c r="M22" s="7"/>
      <c r="N22" s="7"/>
      <c r="O22" s="30">
        <f t="shared" si="2"/>
        <v>0</v>
      </c>
      <c r="P22" s="7"/>
      <c r="Q22" s="7"/>
      <c r="R22" s="7"/>
      <c r="S22" s="30">
        <f t="shared" si="3"/>
        <v>0</v>
      </c>
      <c r="T22" s="7"/>
      <c r="U22" s="7"/>
      <c r="V22" s="7"/>
      <c r="W22" s="30">
        <f t="shared" si="4"/>
        <v>0</v>
      </c>
      <c r="X22" s="7"/>
      <c r="Y22" s="7"/>
      <c r="Z22" s="7"/>
      <c r="AA22" s="30">
        <f t="shared" si="5"/>
        <v>0</v>
      </c>
      <c r="AB22" s="7"/>
      <c r="AC22" s="7"/>
      <c r="AD22" s="7"/>
      <c r="AE22" s="30">
        <f t="shared" si="6"/>
        <v>0</v>
      </c>
      <c r="AF22" s="37">
        <f t="shared" si="7"/>
        <v>0</v>
      </c>
      <c r="AG22" s="31">
        <f t="shared" si="8"/>
        <v>0</v>
      </c>
      <c r="AH22" s="37">
        <f t="shared" si="9"/>
        <v>0</v>
      </c>
      <c r="AI22" s="37">
        <f t="shared" si="10"/>
        <v>0</v>
      </c>
      <c r="AJ22" s="7"/>
    </row>
    <row r="23" spans="1:36" ht="20.55" customHeight="1">
      <c r="A23" s="22" t="s">
        <v>46</v>
      </c>
      <c r="B23" s="34"/>
      <c r="C23" s="4"/>
      <c r="D23" s="4"/>
      <c r="E23" s="91"/>
      <c r="F23" s="90"/>
      <c r="G23" s="30">
        <f t="shared" si="0"/>
        <v>0</v>
      </c>
      <c r="H23" s="4"/>
      <c r="I23" s="90"/>
      <c r="J23" s="4"/>
      <c r="K23" s="30">
        <f t="shared" si="1"/>
        <v>0</v>
      </c>
      <c r="L23" s="4"/>
      <c r="M23" s="4"/>
      <c r="N23" s="4"/>
      <c r="O23" s="30">
        <f t="shared" si="2"/>
        <v>0</v>
      </c>
      <c r="P23" s="4"/>
      <c r="Q23" s="4"/>
      <c r="R23" s="4"/>
      <c r="S23" s="30">
        <f t="shared" si="3"/>
        <v>0</v>
      </c>
      <c r="T23" s="4"/>
      <c r="U23" s="4"/>
      <c r="V23" s="4"/>
      <c r="W23" s="30">
        <f t="shared" si="4"/>
        <v>0</v>
      </c>
      <c r="X23" s="4"/>
      <c r="Y23" s="4"/>
      <c r="Z23" s="4"/>
      <c r="AA23" s="30">
        <f t="shared" si="5"/>
        <v>0</v>
      </c>
      <c r="AB23" s="4"/>
      <c r="AC23" s="4"/>
      <c r="AD23" s="4"/>
      <c r="AE23" s="30">
        <f t="shared" si="6"/>
        <v>0</v>
      </c>
      <c r="AF23" s="37">
        <f t="shared" si="7"/>
        <v>0</v>
      </c>
      <c r="AG23" s="31">
        <f t="shared" si="8"/>
        <v>0</v>
      </c>
      <c r="AH23" s="37">
        <f t="shared" si="9"/>
        <v>0</v>
      </c>
      <c r="AI23" s="37">
        <f t="shared" si="10"/>
        <v>0</v>
      </c>
      <c r="AJ23" s="4"/>
    </row>
    <row r="24" spans="1:36" s="94" customFormat="1" ht="20.55" customHeight="1">
      <c r="A24" s="22" t="s">
        <v>46</v>
      </c>
      <c r="B24" s="18"/>
      <c r="C24" s="7"/>
      <c r="D24" s="7"/>
      <c r="E24" s="91"/>
      <c r="F24" s="90"/>
      <c r="G24" s="30">
        <f t="shared" si="0"/>
        <v>0</v>
      </c>
      <c r="H24" s="7"/>
      <c r="I24" s="90"/>
      <c r="J24" s="7"/>
      <c r="K24" s="30">
        <f t="shared" si="1"/>
        <v>0</v>
      </c>
      <c r="L24" s="7"/>
      <c r="M24" s="7"/>
      <c r="N24" s="7"/>
      <c r="O24" s="30">
        <f t="shared" si="2"/>
        <v>0</v>
      </c>
      <c r="P24" s="7"/>
      <c r="Q24" s="7"/>
      <c r="R24" s="7"/>
      <c r="S24" s="30">
        <f t="shared" si="3"/>
        <v>0</v>
      </c>
      <c r="T24" s="7"/>
      <c r="U24" s="7"/>
      <c r="V24" s="7"/>
      <c r="W24" s="30">
        <f t="shared" si="4"/>
        <v>0</v>
      </c>
      <c r="X24" s="7"/>
      <c r="Y24" s="7"/>
      <c r="Z24" s="7"/>
      <c r="AA24" s="30">
        <f t="shared" si="5"/>
        <v>0</v>
      </c>
      <c r="AB24" s="7"/>
      <c r="AC24" s="7"/>
      <c r="AD24" s="7"/>
      <c r="AE24" s="30">
        <f t="shared" si="6"/>
        <v>0</v>
      </c>
      <c r="AF24" s="37">
        <f t="shared" si="7"/>
        <v>0</v>
      </c>
      <c r="AG24" s="31">
        <f t="shared" si="8"/>
        <v>0</v>
      </c>
      <c r="AH24" s="37">
        <f t="shared" si="9"/>
        <v>0</v>
      </c>
      <c r="AI24" s="37">
        <f t="shared" si="10"/>
        <v>0</v>
      </c>
      <c r="AJ24" s="7"/>
    </row>
    <row r="25" spans="1:36" ht="20.55" customHeight="1">
      <c r="A25" s="22" t="s">
        <v>46</v>
      </c>
      <c r="B25" s="34"/>
      <c r="C25" s="4"/>
      <c r="D25" s="4"/>
      <c r="E25" s="4"/>
      <c r="F25" s="4"/>
      <c r="G25" s="30">
        <f t="shared" si="0"/>
        <v>0</v>
      </c>
      <c r="H25" s="4"/>
      <c r="I25" s="4"/>
      <c r="J25" s="4"/>
      <c r="K25" s="30">
        <f t="shared" si="1"/>
        <v>0</v>
      </c>
      <c r="L25" s="4"/>
      <c r="M25" s="4"/>
      <c r="N25" s="4"/>
      <c r="O25" s="30">
        <f t="shared" si="2"/>
        <v>0</v>
      </c>
      <c r="P25" s="4"/>
      <c r="Q25" s="4"/>
      <c r="R25" s="4"/>
      <c r="S25" s="30">
        <f t="shared" si="3"/>
        <v>0</v>
      </c>
      <c r="T25" s="4"/>
      <c r="U25" s="4"/>
      <c r="V25" s="4"/>
      <c r="W25" s="30">
        <f t="shared" si="4"/>
        <v>0</v>
      </c>
      <c r="X25" s="4"/>
      <c r="Y25" s="4"/>
      <c r="Z25" s="4"/>
      <c r="AA25" s="30">
        <f t="shared" si="5"/>
        <v>0</v>
      </c>
      <c r="AB25" s="4"/>
      <c r="AC25" s="4"/>
      <c r="AD25" s="4"/>
      <c r="AE25" s="30">
        <f t="shared" si="6"/>
        <v>0</v>
      </c>
      <c r="AF25" s="37">
        <f t="shared" si="7"/>
        <v>0</v>
      </c>
      <c r="AG25" s="31">
        <f t="shared" si="8"/>
        <v>0</v>
      </c>
      <c r="AH25" s="37">
        <f t="shared" si="9"/>
        <v>0</v>
      </c>
      <c r="AI25" s="37">
        <f t="shared" si="10"/>
        <v>0</v>
      </c>
      <c r="AJ25" s="4"/>
    </row>
    <row r="26" spans="1:36" s="94" customFormat="1" ht="20.55" customHeight="1">
      <c r="A26" s="22" t="s">
        <v>46</v>
      </c>
      <c r="B26" s="18"/>
      <c r="C26" s="7"/>
      <c r="D26" s="7"/>
      <c r="E26" s="7"/>
      <c r="F26" s="7"/>
      <c r="G26" s="30">
        <f t="shared" si="0"/>
        <v>0</v>
      </c>
      <c r="H26" s="7"/>
      <c r="I26" s="7"/>
      <c r="J26" s="7"/>
      <c r="K26" s="30">
        <f t="shared" si="1"/>
        <v>0</v>
      </c>
      <c r="L26" s="7"/>
      <c r="M26" s="7"/>
      <c r="N26" s="7"/>
      <c r="O26" s="30">
        <f t="shared" si="2"/>
        <v>0</v>
      </c>
      <c r="P26" s="7"/>
      <c r="Q26" s="7"/>
      <c r="R26" s="7"/>
      <c r="S26" s="30">
        <f t="shared" si="3"/>
        <v>0</v>
      </c>
      <c r="T26" s="7"/>
      <c r="U26" s="7"/>
      <c r="V26" s="7"/>
      <c r="W26" s="30">
        <f t="shared" si="4"/>
        <v>0</v>
      </c>
      <c r="X26" s="7"/>
      <c r="Y26" s="7"/>
      <c r="Z26" s="7"/>
      <c r="AA26" s="30">
        <f t="shared" si="5"/>
        <v>0</v>
      </c>
      <c r="AB26" s="7"/>
      <c r="AC26" s="7"/>
      <c r="AD26" s="7"/>
      <c r="AE26" s="30">
        <f t="shared" si="6"/>
        <v>0</v>
      </c>
      <c r="AF26" s="37">
        <f t="shared" si="7"/>
        <v>0</v>
      </c>
      <c r="AG26" s="31">
        <f t="shared" si="8"/>
        <v>0</v>
      </c>
      <c r="AH26" s="37">
        <f t="shared" si="9"/>
        <v>0</v>
      </c>
      <c r="AI26" s="37">
        <f t="shared" si="10"/>
        <v>0</v>
      </c>
      <c r="AJ26" s="7"/>
    </row>
    <row r="27" spans="1:36" ht="20.55" customHeight="1">
      <c r="A27" s="21" t="s">
        <v>49</v>
      </c>
      <c r="B27" s="34"/>
      <c r="C27" s="4"/>
      <c r="D27" s="4"/>
      <c r="E27" s="4"/>
      <c r="F27" s="4"/>
      <c r="G27" s="30">
        <f t="shared" si="0"/>
        <v>0</v>
      </c>
      <c r="H27" s="4"/>
      <c r="I27" s="4"/>
      <c r="J27" s="4"/>
      <c r="K27" s="30">
        <f t="shared" si="1"/>
        <v>0</v>
      </c>
      <c r="L27" s="4"/>
      <c r="M27" s="4"/>
      <c r="N27" s="4"/>
      <c r="O27" s="30">
        <f t="shared" si="2"/>
        <v>0</v>
      </c>
      <c r="P27" s="4"/>
      <c r="Q27" s="4"/>
      <c r="R27" s="4"/>
      <c r="S27" s="30">
        <f t="shared" si="3"/>
        <v>0</v>
      </c>
      <c r="T27" s="4"/>
      <c r="U27" s="4"/>
      <c r="V27" s="4"/>
      <c r="W27" s="30">
        <f t="shared" si="4"/>
        <v>0</v>
      </c>
      <c r="X27" s="4"/>
      <c r="Y27" s="4"/>
      <c r="Z27" s="4"/>
      <c r="AA27" s="30">
        <f t="shared" si="5"/>
        <v>0</v>
      </c>
      <c r="AB27" s="4"/>
      <c r="AC27" s="4"/>
      <c r="AD27" s="4"/>
      <c r="AE27" s="30">
        <f t="shared" si="6"/>
        <v>0</v>
      </c>
      <c r="AF27" s="37">
        <f t="shared" si="7"/>
        <v>0</v>
      </c>
      <c r="AG27" s="31">
        <f t="shared" si="8"/>
        <v>0</v>
      </c>
      <c r="AH27" s="37">
        <f t="shared" si="9"/>
        <v>0</v>
      </c>
      <c r="AI27" s="37">
        <f t="shared" si="10"/>
        <v>0</v>
      </c>
      <c r="AJ27" s="4"/>
    </row>
    <row r="28" spans="1:36" s="94" customFormat="1" ht="20.55" customHeight="1">
      <c r="A28" s="21" t="s">
        <v>49</v>
      </c>
      <c r="B28" s="18"/>
      <c r="C28" s="7"/>
      <c r="D28" s="7"/>
      <c r="E28" s="7"/>
      <c r="F28" s="7"/>
      <c r="G28" s="30">
        <f t="shared" si="0"/>
        <v>0</v>
      </c>
      <c r="H28" s="7"/>
      <c r="I28" s="7"/>
      <c r="J28" s="7"/>
      <c r="K28" s="30">
        <f t="shared" si="1"/>
        <v>0</v>
      </c>
      <c r="L28" s="7"/>
      <c r="M28" s="7"/>
      <c r="N28" s="7"/>
      <c r="O28" s="30">
        <f t="shared" si="2"/>
        <v>0</v>
      </c>
      <c r="P28" s="7"/>
      <c r="Q28" s="7"/>
      <c r="R28" s="7"/>
      <c r="S28" s="30">
        <f t="shared" si="3"/>
        <v>0</v>
      </c>
      <c r="T28" s="7"/>
      <c r="U28" s="7"/>
      <c r="V28" s="7"/>
      <c r="W28" s="30">
        <f t="shared" si="4"/>
        <v>0</v>
      </c>
      <c r="X28" s="7"/>
      <c r="Y28" s="7"/>
      <c r="Z28" s="7"/>
      <c r="AA28" s="30">
        <f t="shared" si="5"/>
        <v>0</v>
      </c>
      <c r="AB28" s="7"/>
      <c r="AC28" s="7"/>
      <c r="AD28" s="7"/>
      <c r="AE28" s="30">
        <f t="shared" si="6"/>
        <v>0</v>
      </c>
      <c r="AF28" s="37">
        <f t="shared" si="7"/>
        <v>0</v>
      </c>
      <c r="AG28" s="31">
        <f t="shared" si="8"/>
        <v>0</v>
      </c>
      <c r="AH28" s="37">
        <f t="shared" si="9"/>
        <v>0</v>
      </c>
      <c r="AI28" s="37">
        <f t="shared" si="10"/>
        <v>0</v>
      </c>
      <c r="AJ28" s="7"/>
    </row>
    <row r="29" spans="1:36" ht="20.55" customHeight="1">
      <c r="A29" s="21" t="s">
        <v>49</v>
      </c>
      <c r="B29" s="34"/>
      <c r="C29" s="4"/>
      <c r="D29" s="4"/>
      <c r="E29" s="4"/>
      <c r="F29" s="4"/>
      <c r="G29" s="30">
        <f t="shared" si="0"/>
        <v>0</v>
      </c>
      <c r="H29" s="4"/>
      <c r="I29" s="4"/>
      <c r="J29" s="4"/>
      <c r="K29" s="30">
        <f t="shared" si="1"/>
        <v>0</v>
      </c>
      <c r="L29" s="4"/>
      <c r="M29" s="4"/>
      <c r="N29" s="4"/>
      <c r="O29" s="30">
        <f t="shared" si="2"/>
        <v>0</v>
      </c>
      <c r="P29" s="4"/>
      <c r="Q29" s="4"/>
      <c r="R29" s="4"/>
      <c r="S29" s="30">
        <f t="shared" si="3"/>
        <v>0</v>
      </c>
      <c r="T29" s="4"/>
      <c r="U29" s="4"/>
      <c r="V29" s="4"/>
      <c r="W29" s="30">
        <f t="shared" si="4"/>
        <v>0</v>
      </c>
      <c r="X29" s="4"/>
      <c r="Y29" s="4"/>
      <c r="Z29" s="4"/>
      <c r="AA29" s="30">
        <f t="shared" si="5"/>
        <v>0</v>
      </c>
      <c r="AB29" s="4"/>
      <c r="AC29" s="4"/>
      <c r="AD29" s="4"/>
      <c r="AE29" s="30">
        <f t="shared" si="6"/>
        <v>0</v>
      </c>
      <c r="AF29" s="37">
        <f t="shared" si="7"/>
        <v>0</v>
      </c>
      <c r="AG29" s="31">
        <f t="shared" si="8"/>
        <v>0</v>
      </c>
      <c r="AH29" s="37">
        <f t="shared" si="9"/>
        <v>0</v>
      </c>
      <c r="AI29" s="37">
        <f t="shared" si="10"/>
        <v>0</v>
      </c>
      <c r="AJ29" s="4"/>
    </row>
    <row r="30" spans="1:36" s="94" customFormat="1" ht="20.55" customHeight="1">
      <c r="A30" s="21" t="s">
        <v>49</v>
      </c>
      <c r="B30" s="18"/>
      <c r="C30" s="7"/>
      <c r="D30" s="7"/>
      <c r="E30" s="7"/>
      <c r="F30" s="7"/>
      <c r="G30" s="30">
        <f t="shared" si="0"/>
        <v>0</v>
      </c>
      <c r="H30" s="7"/>
      <c r="I30" s="7"/>
      <c r="J30" s="7"/>
      <c r="K30" s="30">
        <f t="shared" si="1"/>
        <v>0</v>
      </c>
      <c r="L30" s="7"/>
      <c r="M30" s="7"/>
      <c r="N30" s="7"/>
      <c r="O30" s="30">
        <f t="shared" si="2"/>
        <v>0</v>
      </c>
      <c r="P30" s="7"/>
      <c r="Q30" s="7"/>
      <c r="R30" s="7"/>
      <c r="S30" s="30">
        <f t="shared" si="3"/>
        <v>0</v>
      </c>
      <c r="T30" s="7"/>
      <c r="U30" s="7"/>
      <c r="V30" s="7"/>
      <c r="W30" s="30">
        <f t="shared" si="4"/>
        <v>0</v>
      </c>
      <c r="X30" s="7"/>
      <c r="Y30" s="7"/>
      <c r="Z30" s="7"/>
      <c r="AA30" s="30">
        <f t="shared" si="5"/>
        <v>0</v>
      </c>
      <c r="AB30" s="7"/>
      <c r="AC30" s="7"/>
      <c r="AD30" s="7"/>
      <c r="AE30" s="30">
        <f t="shared" si="6"/>
        <v>0</v>
      </c>
      <c r="AF30" s="37">
        <f t="shared" si="7"/>
        <v>0</v>
      </c>
      <c r="AG30" s="31">
        <f t="shared" si="8"/>
        <v>0</v>
      </c>
      <c r="AH30" s="37">
        <f t="shared" si="9"/>
        <v>0</v>
      </c>
      <c r="AI30" s="37">
        <f t="shared" si="10"/>
        <v>0</v>
      </c>
      <c r="AJ30" s="7"/>
    </row>
    <row r="31" spans="1:36" ht="20.55" customHeight="1">
      <c r="A31" s="21" t="s">
        <v>49</v>
      </c>
      <c r="B31" s="34"/>
      <c r="C31" s="4"/>
      <c r="D31" s="4"/>
      <c r="E31" s="4"/>
      <c r="F31" s="4"/>
      <c r="G31" s="30">
        <f t="shared" si="0"/>
        <v>0</v>
      </c>
      <c r="H31" s="4"/>
      <c r="I31" s="4"/>
      <c r="J31" s="4"/>
      <c r="K31" s="30">
        <f t="shared" si="1"/>
        <v>0</v>
      </c>
      <c r="L31" s="4"/>
      <c r="M31" s="4"/>
      <c r="N31" s="4"/>
      <c r="O31" s="30">
        <f t="shared" si="2"/>
        <v>0</v>
      </c>
      <c r="P31" s="4"/>
      <c r="Q31" s="4"/>
      <c r="R31" s="4"/>
      <c r="S31" s="30">
        <f t="shared" si="3"/>
        <v>0</v>
      </c>
      <c r="T31" s="4"/>
      <c r="U31" s="4"/>
      <c r="V31" s="4"/>
      <c r="W31" s="30">
        <f t="shared" si="4"/>
        <v>0</v>
      </c>
      <c r="X31" s="4"/>
      <c r="Y31" s="4"/>
      <c r="Z31" s="4"/>
      <c r="AA31" s="30">
        <f t="shared" si="5"/>
        <v>0</v>
      </c>
      <c r="AB31" s="4"/>
      <c r="AC31" s="4"/>
      <c r="AD31" s="4"/>
      <c r="AE31" s="30">
        <f t="shared" si="6"/>
        <v>0</v>
      </c>
      <c r="AF31" s="37">
        <f t="shared" si="7"/>
        <v>0</v>
      </c>
      <c r="AG31" s="31">
        <f t="shared" si="8"/>
        <v>0</v>
      </c>
      <c r="AH31" s="37">
        <f t="shared" si="9"/>
        <v>0</v>
      </c>
      <c r="AI31" s="37">
        <f t="shared" si="10"/>
        <v>0</v>
      </c>
      <c r="AJ31" s="4"/>
    </row>
    <row r="32" spans="1:36">
      <c r="A32" s="20" t="s">
        <v>56</v>
      </c>
      <c r="B32" s="34"/>
      <c r="C32" s="4"/>
      <c r="D32" s="4"/>
      <c r="E32" s="4"/>
      <c r="F32" s="4"/>
      <c r="G32" s="30">
        <f t="shared" si="0"/>
        <v>0</v>
      </c>
      <c r="H32" s="4"/>
      <c r="I32" s="4"/>
      <c r="J32" s="4"/>
      <c r="K32" s="30">
        <f t="shared" si="1"/>
        <v>0</v>
      </c>
      <c r="L32" s="4"/>
      <c r="M32" s="4"/>
      <c r="N32" s="4"/>
      <c r="O32" s="30">
        <f t="shared" si="2"/>
        <v>0</v>
      </c>
      <c r="P32" s="4"/>
      <c r="Q32" s="4"/>
      <c r="R32" s="4"/>
      <c r="S32" s="30">
        <f t="shared" si="3"/>
        <v>0</v>
      </c>
      <c r="T32" s="4"/>
      <c r="U32" s="4"/>
      <c r="V32" s="4"/>
      <c r="W32" s="30">
        <f t="shared" si="4"/>
        <v>0</v>
      </c>
      <c r="X32" s="4"/>
      <c r="Y32" s="4"/>
      <c r="Z32" s="4"/>
      <c r="AA32" s="30">
        <f t="shared" si="5"/>
        <v>0</v>
      </c>
      <c r="AB32" s="4"/>
      <c r="AC32" s="4"/>
      <c r="AD32" s="4"/>
      <c r="AE32" s="30">
        <f t="shared" si="6"/>
        <v>0</v>
      </c>
      <c r="AF32" s="37">
        <f t="shared" si="7"/>
        <v>0</v>
      </c>
      <c r="AG32" s="31">
        <f t="shared" si="8"/>
        <v>0</v>
      </c>
      <c r="AH32" s="37">
        <f t="shared" si="9"/>
        <v>0</v>
      </c>
      <c r="AI32" s="37">
        <f t="shared" si="10"/>
        <v>0</v>
      </c>
      <c r="AJ32" s="4"/>
    </row>
    <row r="33" spans="1:36" s="9" customFormat="1" ht="19.2" customHeight="1">
      <c r="A33" s="20" t="s">
        <v>56</v>
      </c>
      <c r="B33" s="18" t="s">
        <v>233</v>
      </c>
      <c r="C33" s="5" t="s">
        <v>234</v>
      </c>
      <c r="D33" s="5" t="s">
        <v>21</v>
      </c>
      <c r="E33" s="5" t="s">
        <v>18</v>
      </c>
      <c r="F33" s="5" t="s">
        <v>235</v>
      </c>
      <c r="G33" s="30">
        <f t="shared" si="0"/>
        <v>5</v>
      </c>
      <c r="H33" s="5" t="s">
        <v>236</v>
      </c>
      <c r="I33" s="5" t="s">
        <v>237</v>
      </c>
      <c r="J33" s="5" t="s">
        <v>29</v>
      </c>
      <c r="K33" s="30">
        <f t="shared" si="1"/>
        <v>50</v>
      </c>
      <c r="L33" s="5" t="s">
        <v>238</v>
      </c>
      <c r="M33" s="5" t="s">
        <v>239</v>
      </c>
      <c r="N33" s="5" t="s">
        <v>46</v>
      </c>
      <c r="O33" s="30">
        <f t="shared" si="2"/>
        <v>90</v>
      </c>
      <c r="P33" s="5" t="s">
        <v>236</v>
      </c>
      <c r="Q33" s="5" t="s">
        <v>240</v>
      </c>
      <c r="R33" s="5" t="s">
        <v>241</v>
      </c>
      <c r="S33" s="30">
        <f t="shared" si="3"/>
        <v>20</v>
      </c>
      <c r="T33" s="5" t="s">
        <v>242</v>
      </c>
      <c r="U33" s="5" t="s">
        <v>56</v>
      </c>
      <c r="V33" s="5" t="s">
        <v>63</v>
      </c>
      <c r="W33" s="30">
        <f t="shared" si="4"/>
        <v>60</v>
      </c>
      <c r="X33" s="5" t="s">
        <v>242</v>
      </c>
      <c r="Y33" s="5" t="s">
        <v>74</v>
      </c>
      <c r="Z33" s="5" t="s">
        <v>243</v>
      </c>
      <c r="AA33" s="30" t="e">
        <f t="shared" si="5"/>
        <v>#VALUE!</v>
      </c>
      <c r="AB33" s="5" t="s">
        <v>244</v>
      </c>
      <c r="AC33" s="5" t="s">
        <v>245</v>
      </c>
      <c r="AD33" s="5" t="s">
        <v>246</v>
      </c>
      <c r="AE33" s="30" t="e">
        <f t="shared" si="6"/>
        <v>#VALUE!</v>
      </c>
      <c r="AF33" s="37" t="e">
        <f t="shared" si="7"/>
        <v>#VALUE!</v>
      </c>
      <c r="AG33" s="31" t="e">
        <f t="shared" si="8"/>
        <v>#VALUE!</v>
      </c>
      <c r="AH33" s="37" t="e">
        <f t="shared" si="9"/>
        <v>#VALUE!</v>
      </c>
      <c r="AI33" s="37" t="e">
        <f t="shared" si="10"/>
        <v>#VALUE!</v>
      </c>
      <c r="AJ33" s="5"/>
    </row>
    <row r="34" spans="1:36">
      <c r="A34" s="20" t="s">
        <v>56</v>
      </c>
      <c r="B34" s="34"/>
      <c r="C34" s="4"/>
      <c r="D34" s="4"/>
      <c r="E34" s="4"/>
      <c r="F34" s="4"/>
      <c r="G34" s="30">
        <f t="shared" ref="G34:G65" si="12">SUM(F34-E34)</f>
        <v>0</v>
      </c>
      <c r="H34" s="4"/>
      <c r="I34" s="4"/>
      <c r="J34" s="4"/>
      <c r="K34" s="30">
        <f t="shared" ref="K34:K65" si="13">SUM(J34-I34)</f>
        <v>0</v>
      </c>
      <c r="L34" s="4"/>
      <c r="M34" s="4"/>
      <c r="N34" s="4"/>
      <c r="O34" s="30">
        <f t="shared" ref="O34:O65" si="14">SUM(N34-M34)</f>
        <v>0</v>
      </c>
      <c r="P34" s="4"/>
      <c r="Q34" s="4"/>
      <c r="R34" s="4"/>
      <c r="S34" s="30">
        <f t="shared" ref="S34:S65" si="15">SUM(R34-Q34)</f>
        <v>0</v>
      </c>
      <c r="T34" s="4"/>
      <c r="U34" s="4"/>
      <c r="V34" s="4"/>
      <c r="W34" s="30">
        <f t="shared" ref="W34:W65" si="16">SUM(V34-U34)</f>
        <v>0</v>
      </c>
      <c r="X34" s="4"/>
      <c r="Y34" s="4"/>
      <c r="Z34" s="4"/>
      <c r="AA34" s="30">
        <f t="shared" ref="AA34:AA65" si="17">SUM(Z34-Y34)</f>
        <v>0</v>
      </c>
      <c r="AB34" s="4"/>
      <c r="AC34" s="4"/>
      <c r="AD34" s="4"/>
      <c r="AE34" s="30">
        <f t="shared" ref="AE34:AE65" si="18">SUM(AD34-AC34)</f>
        <v>0</v>
      </c>
      <c r="AF34" s="37">
        <f t="shared" ref="AF34:AF65" si="19">SUM(G34+K34+O34+S34+W34+AA34+AE34)</f>
        <v>0</v>
      </c>
      <c r="AG34" s="31">
        <f t="shared" ref="AG34:AG65" si="20">SUM(H34+L34+P34+T34+X34-AB34)</f>
        <v>0</v>
      </c>
      <c r="AH34" s="37">
        <f t="shared" ref="AH34:AH65" si="21">AG34/85400</f>
        <v>0</v>
      </c>
      <c r="AI34" s="37">
        <f t="shared" ref="AI34:AI65" si="22">SUM(AF34+AH34)</f>
        <v>0</v>
      </c>
      <c r="AJ34" s="4"/>
    </row>
    <row r="35" spans="1:36" s="94" customFormat="1">
      <c r="A35" s="20" t="s">
        <v>56</v>
      </c>
      <c r="B35" s="18"/>
      <c r="C35" s="7"/>
      <c r="D35" s="7"/>
      <c r="E35" s="7"/>
      <c r="F35" s="7"/>
      <c r="G35" s="30">
        <f t="shared" si="12"/>
        <v>0</v>
      </c>
      <c r="H35" s="7"/>
      <c r="I35" s="7"/>
      <c r="J35" s="7"/>
      <c r="K35" s="30">
        <f t="shared" si="13"/>
        <v>0</v>
      </c>
      <c r="L35" s="7"/>
      <c r="M35" s="7"/>
      <c r="N35" s="7"/>
      <c r="O35" s="30">
        <f t="shared" si="14"/>
        <v>0</v>
      </c>
      <c r="P35" s="7"/>
      <c r="Q35" s="7"/>
      <c r="R35" s="7"/>
      <c r="S35" s="30">
        <f t="shared" si="15"/>
        <v>0</v>
      </c>
      <c r="T35" s="7"/>
      <c r="U35" s="7"/>
      <c r="V35" s="7"/>
      <c r="W35" s="30">
        <f t="shared" si="16"/>
        <v>0</v>
      </c>
      <c r="X35" s="7"/>
      <c r="Y35" s="7"/>
      <c r="Z35" s="7"/>
      <c r="AA35" s="30">
        <f t="shared" si="17"/>
        <v>0</v>
      </c>
      <c r="AB35" s="7"/>
      <c r="AC35" s="7"/>
      <c r="AD35" s="7"/>
      <c r="AE35" s="30">
        <f t="shared" si="18"/>
        <v>0</v>
      </c>
      <c r="AF35" s="37">
        <f t="shared" si="19"/>
        <v>0</v>
      </c>
      <c r="AG35" s="31">
        <f t="shared" si="20"/>
        <v>0</v>
      </c>
      <c r="AH35" s="37">
        <f t="shared" si="21"/>
        <v>0</v>
      </c>
      <c r="AI35" s="37">
        <f t="shared" si="22"/>
        <v>0</v>
      </c>
      <c r="AJ35" s="7"/>
    </row>
    <row r="36" spans="1:36" ht="20.55" customHeight="1">
      <c r="A36" s="20" t="s">
        <v>56</v>
      </c>
      <c r="B36" s="34"/>
      <c r="C36" s="4"/>
      <c r="D36" s="4"/>
      <c r="E36" s="4"/>
      <c r="F36" s="4"/>
      <c r="G36" s="30">
        <f t="shared" si="12"/>
        <v>0</v>
      </c>
      <c r="H36" s="4"/>
      <c r="I36" s="4"/>
      <c r="J36" s="4"/>
      <c r="K36" s="30">
        <f t="shared" si="13"/>
        <v>0</v>
      </c>
      <c r="L36" s="4"/>
      <c r="M36" s="4"/>
      <c r="N36" s="4"/>
      <c r="O36" s="30">
        <f t="shared" si="14"/>
        <v>0</v>
      </c>
      <c r="P36" s="4"/>
      <c r="Q36" s="4"/>
      <c r="R36" s="4"/>
      <c r="S36" s="30">
        <f t="shared" si="15"/>
        <v>0</v>
      </c>
      <c r="T36" s="4"/>
      <c r="U36" s="4"/>
      <c r="V36" s="4"/>
      <c r="W36" s="30">
        <f t="shared" si="16"/>
        <v>0</v>
      </c>
      <c r="X36" s="4"/>
      <c r="Y36" s="4"/>
      <c r="Z36" s="4"/>
      <c r="AA36" s="30">
        <f t="shared" si="17"/>
        <v>0</v>
      </c>
      <c r="AB36" s="4"/>
      <c r="AC36" s="4"/>
      <c r="AD36" s="4"/>
      <c r="AE36" s="30">
        <f t="shared" si="18"/>
        <v>0</v>
      </c>
      <c r="AF36" s="37">
        <f t="shared" si="19"/>
        <v>0</v>
      </c>
      <c r="AG36" s="31">
        <f t="shared" si="20"/>
        <v>0</v>
      </c>
      <c r="AH36" s="37">
        <f t="shared" si="21"/>
        <v>0</v>
      </c>
      <c r="AI36" s="37">
        <f t="shared" si="22"/>
        <v>0</v>
      </c>
      <c r="AJ36" s="4"/>
    </row>
    <row r="37" spans="1:36" s="94" customFormat="1" ht="24.45" customHeight="1">
      <c r="A37" s="21" t="s">
        <v>63</v>
      </c>
      <c r="B37" s="18"/>
      <c r="C37" s="7"/>
      <c r="D37" s="7"/>
      <c r="E37" s="7"/>
      <c r="F37" s="7"/>
      <c r="G37" s="30">
        <f t="shared" si="12"/>
        <v>0</v>
      </c>
      <c r="H37" s="7"/>
      <c r="I37" s="7"/>
      <c r="J37" s="7"/>
      <c r="K37" s="30">
        <f t="shared" si="13"/>
        <v>0</v>
      </c>
      <c r="L37" s="7"/>
      <c r="M37" s="7"/>
      <c r="N37" s="7"/>
      <c r="O37" s="30">
        <f t="shared" si="14"/>
        <v>0</v>
      </c>
      <c r="P37" s="7"/>
      <c r="Q37" s="7"/>
      <c r="R37" s="7"/>
      <c r="S37" s="30">
        <f t="shared" si="15"/>
        <v>0</v>
      </c>
      <c r="T37" s="7"/>
      <c r="U37" s="7"/>
      <c r="V37" s="7"/>
      <c r="W37" s="30">
        <f t="shared" si="16"/>
        <v>0</v>
      </c>
      <c r="X37" s="7"/>
      <c r="Y37" s="7"/>
      <c r="Z37" s="7"/>
      <c r="AA37" s="30">
        <f t="shared" si="17"/>
        <v>0</v>
      </c>
      <c r="AB37" s="7"/>
      <c r="AC37" s="7"/>
      <c r="AD37" s="7"/>
      <c r="AE37" s="30">
        <f t="shared" si="18"/>
        <v>0</v>
      </c>
      <c r="AF37" s="37">
        <f t="shared" si="19"/>
        <v>0</v>
      </c>
      <c r="AG37" s="31">
        <f t="shared" si="20"/>
        <v>0</v>
      </c>
      <c r="AH37" s="37">
        <f t="shared" si="21"/>
        <v>0</v>
      </c>
      <c r="AI37" s="37">
        <f t="shared" si="22"/>
        <v>0</v>
      </c>
      <c r="AJ37" s="7"/>
    </row>
    <row r="38" spans="1:36" ht="24.45" customHeight="1">
      <c r="A38" s="21" t="s">
        <v>63</v>
      </c>
      <c r="B38" s="34"/>
      <c r="C38" s="4"/>
      <c r="D38" s="4"/>
      <c r="E38" s="4"/>
      <c r="F38" s="4"/>
      <c r="G38" s="30">
        <f t="shared" si="12"/>
        <v>0</v>
      </c>
      <c r="H38" s="4"/>
      <c r="I38" s="4"/>
      <c r="J38" s="4"/>
      <c r="K38" s="30">
        <f t="shared" si="13"/>
        <v>0</v>
      </c>
      <c r="L38" s="4"/>
      <c r="M38" s="4"/>
      <c r="N38" s="4"/>
      <c r="O38" s="30">
        <f t="shared" si="14"/>
        <v>0</v>
      </c>
      <c r="P38" s="4"/>
      <c r="Q38" s="4"/>
      <c r="R38" s="4"/>
      <c r="S38" s="30">
        <f t="shared" si="15"/>
        <v>0</v>
      </c>
      <c r="T38" s="4"/>
      <c r="U38" s="4"/>
      <c r="V38" s="4"/>
      <c r="W38" s="30">
        <f t="shared" si="16"/>
        <v>0</v>
      </c>
      <c r="X38" s="4"/>
      <c r="Y38" s="4"/>
      <c r="Z38" s="4"/>
      <c r="AA38" s="30">
        <f t="shared" si="17"/>
        <v>0</v>
      </c>
      <c r="AB38" s="4"/>
      <c r="AC38" s="4"/>
      <c r="AD38" s="4"/>
      <c r="AE38" s="30">
        <f t="shared" si="18"/>
        <v>0</v>
      </c>
      <c r="AF38" s="37">
        <f t="shared" si="19"/>
        <v>0</v>
      </c>
      <c r="AG38" s="31">
        <f t="shared" si="20"/>
        <v>0</v>
      </c>
      <c r="AH38" s="37">
        <f t="shared" si="21"/>
        <v>0</v>
      </c>
      <c r="AI38" s="37">
        <f t="shared" si="22"/>
        <v>0</v>
      </c>
      <c r="AJ38" s="4"/>
    </row>
    <row r="39" spans="1:36" s="94" customFormat="1" ht="20.55" customHeight="1">
      <c r="A39" s="21" t="s">
        <v>63</v>
      </c>
      <c r="B39" s="18"/>
      <c r="C39" s="7"/>
      <c r="D39" s="7"/>
      <c r="E39" s="7"/>
      <c r="F39" s="7"/>
      <c r="G39" s="30">
        <f t="shared" si="12"/>
        <v>0</v>
      </c>
      <c r="H39" s="7"/>
      <c r="I39" s="7"/>
      <c r="J39" s="7"/>
      <c r="K39" s="30">
        <f t="shared" si="13"/>
        <v>0</v>
      </c>
      <c r="L39" s="7"/>
      <c r="M39" s="7"/>
      <c r="N39" s="7"/>
      <c r="O39" s="30">
        <f t="shared" si="14"/>
        <v>0</v>
      </c>
      <c r="P39" s="7"/>
      <c r="Q39" s="7"/>
      <c r="R39" s="7"/>
      <c r="S39" s="30">
        <f t="shared" si="15"/>
        <v>0</v>
      </c>
      <c r="T39" s="7"/>
      <c r="U39" s="7"/>
      <c r="V39" s="7"/>
      <c r="W39" s="30">
        <f t="shared" si="16"/>
        <v>0</v>
      </c>
      <c r="X39" s="7"/>
      <c r="Y39" s="7"/>
      <c r="Z39" s="7"/>
      <c r="AA39" s="30">
        <f t="shared" si="17"/>
        <v>0</v>
      </c>
      <c r="AB39" s="7"/>
      <c r="AC39" s="7"/>
      <c r="AD39" s="7"/>
      <c r="AE39" s="30">
        <f t="shared" si="18"/>
        <v>0</v>
      </c>
      <c r="AF39" s="37">
        <f t="shared" si="19"/>
        <v>0</v>
      </c>
      <c r="AG39" s="31">
        <f t="shared" si="20"/>
        <v>0</v>
      </c>
      <c r="AH39" s="37">
        <f t="shared" si="21"/>
        <v>0</v>
      </c>
      <c r="AI39" s="37">
        <f t="shared" si="22"/>
        <v>0</v>
      </c>
      <c r="AJ39" s="7"/>
    </row>
    <row r="40" spans="1:36" ht="20.55" customHeight="1">
      <c r="A40" s="21" t="s">
        <v>63</v>
      </c>
      <c r="B40" s="34"/>
      <c r="C40" s="4"/>
      <c r="D40" s="4"/>
      <c r="E40" s="4"/>
      <c r="F40" s="4"/>
      <c r="G40" s="30">
        <f t="shared" si="12"/>
        <v>0</v>
      </c>
      <c r="H40" s="4"/>
      <c r="I40" s="4"/>
      <c r="J40" s="4"/>
      <c r="K40" s="30">
        <f t="shared" si="13"/>
        <v>0</v>
      </c>
      <c r="L40" s="4"/>
      <c r="M40" s="4"/>
      <c r="N40" s="4"/>
      <c r="O40" s="30">
        <f t="shared" si="14"/>
        <v>0</v>
      </c>
      <c r="P40" s="4"/>
      <c r="Q40" s="4"/>
      <c r="R40" s="4"/>
      <c r="S40" s="30">
        <f t="shared" si="15"/>
        <v>0</v>
      </c>
      <c r="T40" s="4"/>
      <c r="U40" s="4"/>
      <c r="V40" s="4"/>
      <c r="W40" s="30">
        <f t="shared" si="16"/>
        <v>0</v>
      </c>
      <c r="X40" s="4"/>
      <c r="Y40" s="4"/>
      <c r="Z40" s="4"/>
      <c r="AA40" s="30">
        <f t="shared" si="17"/>
        <v>0</v>
      </c>
      <c r="AB40" s="4"/>
      <c r="AC40" s="4"/>
      <c r="AD40" s="4"/>
      <c r="AE40" s="30">
        <f t="shared" si="18"/>
        <v>0</v>
      </c>
      <c r="AF40" s="37">
        <f t="shared" si="19"/>
        <v>0</v>
      </c>
      <c r="AG40" s="31">
        <f t="shared" si="20"/>
        <v>0</v>
      </c>
      <c r="AH40" s="37">
        <f t="shared" si="21"/>
        <v>0</v>
      </c>
      <c r="AI40" s="37">
        <f t="shared" si="22"/>
        <v>0</v>
      </c>
      <c r="AJ40" s="4"/>
    </row>
    <row r="41" spans="1:36" s="94" customFormat="1" ht="20.55" customHeight="1">
      <c r="A41" s="21" t="s">
        <v>63</v>
      </c>
      <c r="B41" s="18"/>
      <c r="C41" s="7"/>
      <c r="D41" s="7"/>
      <c r="E41" s="7"/>
      <c r="F41" s="7"/>
      <c r="G41" s="30">
        <f t="shared" si="12"/>
        <v>0</v>
      </c>
      <c r="H41" s="7"/>
      <c r="I41" s="7"/>
      <c r="J41" s="7"/>
      <c r="K41" s="30">
        <f t="shared" si="13"/>
        <v>0</v>
      </c>
      <c r="L41" s="7"/>
      <c r="M41" s="7"/>
      <c r="N41" s="7"/>
      <c r="O41" s="30">
        <f t="shared" si="14"/>
        <v>0</v>
      </c>
      <c r="P41" s="7"/>
      <c r="Q41" s="7"/>
      <c r="R41" s="7"/>
      <c r="S41" s="30">
        <f t="shared" si="15"/>
        <v>0</v>
      </c>
      <c r="T41" s="7"/>
      <c r="U41" s="7"/>
      <c r="V41" s="7"/>
      <c r="W41" s="30">
        <f t="shared" si="16"/>
        <v>0</v>
      </c>
      <c r="X41" s="7"/>
      <c r="Y41" s="7"/>
      <c r="Z41" s="7"/>
      <c r="AA41" s="30">
        <f t="shared" si="17"/>
        <v>0</v>
      </c>
      <c r="AB41" s="7"/>
      <c r="AC41" s="7"/>
      <c r="AD41" s="7"/>
      <c r="AE41" s="30">
        <f t="shared" si="18"/>
        <v>0</v>
      </c>
      <c r="AF41" s="37">
        <f t="shared" si="19"/>
        <v>0</v>
      </c>
      <c r="AG41" s="31">
        <f t="shared" si="20"/>
        <v>0</v>
      </c>
      <c r="AH41" s="37">
        <f t="shared" si="21"/>
        <v>0</v>
      </c>
      <c r="AI41" s="37">
        <f t="shared" si="22"/>
        <v>0</v>
      </c>
      <c r="AJ41" s="7"/>
    </row>
    <row r="42" spans="1:36" ht="20.55" customHeight="1">
      <c r="A42" s="22" t="s">
        <v>74</v>
      </c>
      <c r="B42" s="34"/>
      <c r="C42" s="4"/>
      <c r="D42" s="4"/>
      <c r="E42" s="4"/>
      <c r="F42" s="4"/>
      <c r="G42" s="30">
        <f t="shared" si="12"/>
        <v>0</v>
      </c>
      <c r="H42" s="4"/>
      <c r="I42" s="4"/>
      <c r="J42" s="4"/>
      <c r="K42" s="30">
        <f t="shared" si="13"/>
        <v>0</v>
      </c>
      <c r="L42" s="4"/>
      <c r="M42" s="4"/>
      <c r="N42" s="4"/>
      <c r="O42" s="30">
        <f t="shared" si="14"/>
        <v>0</v>
      </c>
      <c r="P42" s="4"/>
      <c r="Q42" s="4"/>
      <c r="R42" s="4"/>
      <c r="S42" s="30">
        <f t="shared" si="15"/>
        <v>0</v>
      </c>
      <c r="T42" s="4"/>
      <c r="U42" s="4"/>
      <c r="V42" s="4"/>
      <c r="W42" s="30">
        <f t="shared" si="16"/>
        <v>0</v>
      </c>
      <c r="X42" s="4"/>
      <c r="Y42" s="4"/>
      <c r="Z42" s="4"/>
      <c r="AA42" s="30">
        <f t="shared" si="17"/>
        <v>0</v>
      </c>
      <c r="AB42" s="4"/>
      <c r="AC42" s="4"/>
      <c r="AD42" s="4"/>
      <c r="AE42" s="30">
        <f t="shared" si="18"/>
        <v>0</v>
      </c>
      <c r="AF42" s="37">
        <f t="shared" si="19"/>
        <v>0</v>
      </c>
      <c r="AG42" s="31">
        <f t="shared" si="20"/>
        <v>0</v>
      </c>
      <c r="AH42" s="37">
        <f t="shared" si="21"/>
        <v>0</v>
      </c>
      <c r="AI42" s="37">
        <f t="shared" si="22"/>
        <v>0</v>
      </c>
      <c r="AJ42" s="4"/>
    </row>
    <row r="43" spans="1:36" s="94" customFormat="1" ht="22.2" customHeight="1">
      <c r="A43" s="22" t="s">
        <v>74</v>
      </c>
      <c r="B43" s="18"/>
      <c r="C43" s="7"/>
      <c r="D43" s="7"/>
      <c r="E43" s="7"/>
      <c r="F43" s="7"/>
      <c r="G43" s="30">
        <f t="shared" si="12"/>
        <v>0</v>
      </c>
      <c r="H43" s="7"/>
      <c r="I43" s="7"/>
      <c r="J43" s="7"/>
      <c r="K43" s="30">
        <f t="shared" si="13"/>
        <v>0</v>
      </c>
      <c r="L43" s="7"/>
      <c r="M43" s="7"/>
      <c r="N43" s="7"/>
      <c r="O43" s="30">
        <f t="shared" si="14"/>
        <v>0</v>
      </c>
      <c r="P43" s="7"/>
      <c r="Q43" s="7"/>
      <c r="R43" s="7"/>
      <c r="S43" s="30">
        <f t="shared" si="15"/>
        <v>0</v>
      </c>
      <c r="T43" s="7"/>
      <c r="U43" s="7"/>
      <c r="V43" s="7"/>
      <c r="W43" s="30">
        <f t="shared" si="16"/>
        <v>0</v>
      </c>
      <c r="X43" s="7"/>
      <c r="Y43" s="7"/>
      <c r="Z43" s="7"/>
      <c r="AA43" s="30">
        <f t="shared" si="17"/>
        <v>0</v>
      </c>
      <c r="AB43" s="7"/>
      <c r="AC43" s="7"/>
      <c r="AD43" s="7"/>
      <c r="AE43" s="30">
        <f t="shared" si="18"/>
        <v>0</v>
      </c>
      <c r="AF43" s="37">
        <f t="shared" si="19"/>
        <v>0</v>
      </c>
      <c r="AG43" s="31">
        <f t="shared" si="20"/>
        <v>0</v>
      </c>
      <c r="AH43" s="37">
        <f t="shared" si="21"/>
        <v>0</v>
      </c>
      <c r="AI43" s="37">
        <f t="shared" si="22"/>
        <v>0</v>
      </c>
      <c r="AJ43" s="7"/>
    </row>
    <row r="44" spans="1:36" ht="20.55" customHeight="1">
      <c r="A44" s="22" t="s">
        <v>74</v>
      </c>
      <c r="B44" s="34"/>
      <c r="C44" s="4"/>
      <c r="D44" s="4"/>
      <c r="E44" s="4"/>
      <c r="F44" s="4"/>
      <c r="G44" s="30">
        <f t="shared" si="12"/>
        <v>0</v>
      </c>
      <c r="H44" s="4"/>
      <c r="I44" s="4"/>
      <c r="J44" s="4"/>
      <c r="K44" s="30">
        <f t="shared" si="13"/>
        <v>0</v>
      </c>
      <c r="L44" s="4"/>
      <c r="M44" s="4"/>
      <c r="N44" s="4"/>
      <c r="O44" s="30">
        <f t="shared" si="14"/>
        <v>0</v>
      </c>
      <c r="P44" s="4"/>
      <c r="Q44" s="4"/>
      <c r="R44" s="4"/>
      <c r="S44" s="30">
        <f t="shared" si="15"/>
        <v>0</v>
      </c>
      <c r="T44" s="4"/>
      <c r="U44" s="4"/>
      <c r="V44" s="4"/>
      <c r="W44" s="30">
        <f t="shared" si="16"/>
        <v>0</v>
      </c>
      <c r="X44" s="4"/>
      <c r="Y44" s="4"/>
      <c r="Z44" s="4"/>
      <c r="AA44" s="30">
        <f t="shared" si="17"/>
        <v>0</v>
      </c>
      <c r="AB44" s="4"/>
      <c r="AC44" s="4"/>
      <c r="AD44" s="4"/>
      <c r="AE44" s="30">
        <f t="shared" si="18"/>
        <v>0</v>
      </c>
      <c r="AF44" s="37">
        <f t="shared" si="19"/>
        <v>0</v>
      </c>
      <c r="AG44" s="31">
        <f t="shared" si="20"/>
        <v>0</v>
      </c>
      <c r="AH44" s="37">
        <f t="shared" si="21"/>
        <v>0</v>
      </c>
      <c r="AI44" s="37">
        <f t="shared" si="22"/>
        <v>0</v>
      </c>
      <c r="AJ44" s="4"/>
    </row>
    <row r="45" spans="1:36" s="94" customFormat="1" ht="20.55" customHeight="1">
      <c r="A45" s="22" t="s">
        <v>74</v>
      </c>
      <c r="B45" s="18"/>
      <c r="C45" s="7"/>
      <c r="D45" s="7"/>
      <c r="E45" s="7"/>
      <c r="F45" s="7"/>
      <c r="G45" s="30">
        <f t="shared" si="12"/>
        <v>0</v>
      </c>
      <c r="H45" s="7"/>
      <c r="I45" s="7"/>
      <c r="J45" s="7"/>
      <c r="K45" s="30">
        <f t="shared" si="13"/>
        <v>0</v>
      </c>
      <c r="L45" s="7"/>
      <c r="M45" s="7"/>
      <c r="N45" s="7"/>
      <c r="O45" s="30">
        <f t="shared" si="14"/>
        <v>0</v>
      </c>
      <c r="P45" s="7"/>
      <c r="Q45" s="7"/>
      <c r="R45" s="7"/>
      <c r="S45" s="30">
        <f t="shared" si="15"/>
        <v>0</v>
      </c>
      <c r="T45" s="7"/>
      <c r="U45" s="7"/>
      <c r="V45" s="7"/>
      <c r="W45" s="30">
        <f t="shared" si="16"/>
        <v>0</v>
      </c>
      <c r="X45" s="7"/>
      <c r="Y45" s="7"/>
      <c r="Z45" s="7"/>
      <c r="AA45" s="30">
        <f t="shared" si="17"/>
        <v>0</v>
      </c>
      <c r="AB45" s="7"/>
      <c r="AC45" s="7"/>
      <c r="AD45" s="7"/>
      <c r="AE45" s="30">
        <f t="shared" si="18"/>
        <v>0</v>
      </c>
      <c r="AF45" s="37">
        <f t="shared" si="19"/>
        <v>0</v>
      </c>
      <c r="AG45" s="31">
        <f t="shared" si="20"/>
        <v>0</v>
      </c>
      <c r="AH45" s="37">
        <f t="shared" si="21"/>
        <v>0</v>
      </c>
      <c r="AI45" s="37">
        <f t="shared" si="22"/>
        <v>0</v>
      </c>
      <c r="AJ45" s="7"/>
    </row>
    <row r="46" spans="1:36" ht="20.55" customHeight="1">
      <c r="A46" s="22" t="s">
        <v>74</v>
      </c>
      <c r="B46" s="34"/>
      <c r="C46" s="4"/>
      <c r="D46" s="4"/>
      <c r="E46" s="4"/>
      <c r="F46" s="4"/>
      <c r="G46" s="30">
        <f t="shared" si="12"/>
        <v>0</v>
      </c>
      <c r="H46" s="4"/>
      <c r="I46" s="4"/>
      <c r="J46" s="4"/>
      <c r="K46" s="30">
        <f t="shared" si="13"/>
        <v>0</v>
      </c>
      <c r="L46" s="4"/>
      <c r="M46" s="4"/>
      <c r="N46" s="4"/>
      <c r="O46" s="30">
        <f t="shared" si="14"/>
        <v>0</v>
      </c>
      <c r="P46" s="4"/>
      <c r="Q46" s="4"/>
      <c r="R46" s="4"/>
      <c r="S46" s="30">
        <f t="shared" si="15"/>
        <v>0</v>
      </c>
      <c r="T46" s="4"/>
      <c r="U46" s="4"/>
      <c r="V46" s="4"/>
      <c r="W46" s="30">
        <f t="shared" si="16"/>
        <v>0</v>
      </c>
      <c r="X46" s="4"/>
      <c r="Y46" s="4"/>
      <c r="Z46" s="4"/>
      <c r="AA46" s="30">
        <f t="shared" si="17"/>
        <v>0</v>
      </c>
      <c r="AB46" s="4"/>
      <c r="AC46" s="4"/>
      <c r="AD46" s="4"/>
      <c r="AE46" s="30">
        <f t="shared" si="18"/>
        <v>0</v>
      </c>
      <c r="AF46" s="37">
        <f t="shared" si="19"/>
        <v>0</v>
      </c>
      <c r="AG46" s="31">
        <f t="shared" si="20"/>
        <v>0</v>
      </c>
      <c r="AH46" s="37">
        <f t="shared" si="21"/>
        <v>0</v>
      </c>
      <c r="AI46" s="37">
        <f t="shared" si="22"/>
        <v>0</v>
      </c>
      <c r="AJ46" s="4"/>
    </row>
    <row r="47" spans="1:36" s="94" customFormat="1" ht="20.55" customHeight="1">
      <c r="A47" s="23" t="s">
        <v>81</v>
      </c>
      <c r="B47" s="18"/>
      <c r="C47" s="7"/>
      <c r="D47" s="7"/>
      <c r="E47" s="7"/>
      <c r="F47" s="7"/>
      <c r="G47" s="30">
        <f t="shared" si="12"/>
        <v>0</v>
      </c>
      <c r="H47" s="7"/>
      <c r="I47" s="7"/>
      <c r="J47" s="7"/>
      <c r="K47" s="30">
        <f t="shared" si="13"/>
        <v>0</v>
      </c>
      <c r="L47" s="7"/>
      <c r="M47" s="7"/>
      <c r="N47" s="7"/>
      <c r="O47" s="30">
        <f t="shared" si="14"/>
        <v>0</v>
      </c>
      <c r="P47" s="7"/>
      <c r="Q47" s="7"/>
      <c r="R47" s="7"/>
      <c r="S47" s="30">
        <f t="shared" si="15"/>
        <v>0</v>
      </c>
      <c r="T47" s="7"/>
      <c r="U47" s="7"/>
      <c r="V47" s="7"/>
      <c r="W47" s="30">
        <f t="shared" si="16"/>
        <v>0</v>
      </c>
      <c r="X47" s="7"/>
      <c r="Y47" s="7"/>
      <c r="Z47" s="7"/>
      <c r="AA47" s="30">
        <f t="shared" si="17"/>
        <v>0</v>
      </c>
      <c r="AB47" s="7"/>
      <c r="AC47" s="7"/>
      <c r="AD47" s="7"/>
      <c r="AE47" s="30">
        <f t="shared" si="18"/>
        <v>0</v>
      </c>
      <c r="AF47" s="37">
        <f t="shared" si="19"/>
        <v>0</v>
      </c>
      <c r="AG47" s="31">
        <f t="shared" si="20"/>
        <v>0</v>
      </c>
      <c r="AH47" s="37">
        <f t="shared" si="21"/>
        <v>0</v>
      </c>
      <c r="AI47" s="37">
        <f t="shared" si="22"/>
        <v>0</v>
      </c>
      <c r="AJ47" s="7"/>
    </row>
    <row r="48" spans="1:36" ht="20.55" customHeight="1">
      <c r="A48" s="23" t="s">
        <v>81</v>
      </c>
      <c r="B48" s="34"/>
      <c r="C48" s="4"/>
      <c r="D48" s="4"/>
      <c r="E48" s="4"/>
      <c r="F48" s="4"/>
      <c r="G48" s="30">
        <f t="shared" si="12"/>
        <v>0</v>
      </c>
      <c r="H48" s="4"/>
      <c r="I48" s="4"/>
      <c r="J48" s="4"/>
      <c r="K48" s="30">
        <f t="shared" si="13"/>
        <v>0</v>
      </c>
      <c r="L48" s="4"/>
      <c r="M48" s="4"/>
      <c r="N48" s="4"/>
      <c r="O48" s="30">
        <f t="shared" si="14"/>
        <v>0</v>
      </c>
      <c r="P48" s="4"/>
      <c r="Q48" s="4"/>
      <c r="R48" s="4"/>
      <c r="S48" s="30">
        <f t="shared" si="15"/>
        <v>0</v>
      </c>
      <c r="T48" s="4"/>
      <c r="U48" s="4"/>
      <c r="V48" s="4"/>
      <c r="W48" s="30">
        <f t="shared" si="16"/>
        <v>0</v>
      </c>
      <c r="X48" s="4"/>
      <c r="Y48" s="4"/>
      <c r="Z48" s="4"/>
      <c r="AA48" s="30">
        <f t="shared" si="17"/>
        <v>0</v>
      </c>
      <c r="AB48" s="4"/>
      <c r="AC48" s="4"/>
      <c r="AD48" s="4"/>
      <c r="AE48" s="30">
        <f t="shared" si="18"/>
        <v>0</v>
      </c>
      <c r="AF48" s="37">
        <f t="shared" si="19"/>
        <v>0</v>
      </c>
      <c r="AG48" s="31">
        <f t="shared" si="20"/>
        <v>0</v>
      </c>
      <c r="AH48" s="37">
        <f t="shared" si="21"/>
        <v>0</v>
      </c>
      <c r="AI48" s="37">
        <f t="shared" si="22"/>
        <v>0</v>
      </c>
      <c r="AJ48" s="4"/>
    </row>
    <row r="49" spans="1:36" s="94" customFormat="1" ht="20.55" customHeight="1">
      <c r="A49" s="23" t="s">
        <v>81</v>
      </c>
      <c r="B49" s="18"/>
      <c r="C49" s="7"/>
      <c r="D49" s="7"/>
      <c r="E49" s="7"/>
      <c r="F49" s="7"/>
      <c r="G49" s="30">
        <f t="shared" si="12"/>
        <v>0</v>
      </c>
      <c r="H49" s="7"/>
      <c r="I49" s="7"/>
      <c r="J49" s="7"/>
      <c r="K49" s="30">
        <f t="shared" si="13"/>
        <v>0</v>
      </c>
      <c r="L49" s="7"/>
      <c r="M49" s="7"/>
      <c r="N49" s="7"/>
      <c r="O49" s="30">
        <f t="shared" si="14"/>
        <v>0</v>
      </c>
      <c r="P49" s="7"/>
      <c r="Q49" s="7"/>
      <c r="R49" s="7"/>
      <c r="S49" s="30">
        <f t="shared" si="15"/>
        <v>0</v>
      </c>
      <c r="T49" s="7"/>
      <c r="U49" s="7"/>
      <c r="V49" s="7"/>
      <c r="W49" s="30">
        <f t="shared" si="16"/>
        <v>0</v>
      </c>
      <c r="X49" s="7"/>
      <c r="Y49" s="7"/>
      <c r="Z49" s="7"/>
      <c r="AA49" s="30">
        <f t="shared" si="17"/>
        <v>0</v>
      </c>
      <c r="AB49" s="7"/>
      <c r="AC49" s="7"/>
      <c r="AD49" s="7"/>
      <c r="AE49" s="30">
        <f t="shared" si="18"/>
        <v>0</v>
      </c>
      <c r="AF49" s="37">
        <f t="shared" si="19"/>
        <v>0</v>
      </c>
      <c r="AG49" s="31">
        <f t="shared" si="20"/>
        <v>0</v>
      </c>
      <c r="AH49" s="37">
        <f t="shared" si="21"/>
        <v>0</v>
      </c>
      <c r="AI49" s="37">
        <f t="shared" si="22"/>
        <v>0</v>
      </c>
      <c r="AJ49" s="7"/>
    </row>
    <row r="50" spans="1:36" ht="20.55" customHeight="1">
      <c r="A50" s="23" t="s">
        <v>81</v>
      </c>
      <c r="B50" s="34"/>
      <c r="C50" s="4"/>
      <c r="D50" s="4"/>
      <c r="E50" s="4"/>
      <c r="F50" s="4"/>
      <c r="G50" s="30">
        <f t="shared" si="12"/>
        <v>0</v>
      </c>
      <c r="H50" s="4"/>
      <c r="I50" s="4"/>
      <c r="J50" s="4"/>
      <c r="K50" s="30">
        <f t="shared" si="13"/>
        <v>0</v>
      </c>
      <c r="L50" s="4"/>
      <c r="M50" s="4"/>
      <c r="N50" s="4"/>
      <c r="O50" s="30">
        <f t="shared" si="14"/>
        <v>0</v>
      </c>
      <c r="P50" s="4"/>
      <c r="Q50" s="4"/>
      <c r="R50" s="4"/>
      <c r="S50" s="30">
        <f t="shared" si="15"/>
        <v>0</v>
      </c>
      <c r="T50" s="4"/>
      <c r="U50" s="4"/>
      <c r="V50" s="4"/>
      <c r="W50" s="30">
        <f t="shared" si="16"/>
        <v>0</v>
      </c>
      <c r="X50" s="4"/>
      <c r="Y50" s="4"/>
      <c r="Z50" s="4"/>
      <c r="AA50" s="30">
        <f t="shared" si="17"/>
        <v>0</v>
      </c>
      <c r="AB50" s="4"/>
      <c r="AC50" s="4"/>
      <c r="AD50" s="4"/>
      <c r="AE50" s="30">
        <f t="shared" si="18"/>
        <v>0</v>
      </c>
      <c r="AF50" s="37">
        <f t="shared" si="19"/>
        <v>0</v>
      </c>
      <c r="AG50" s="31">
        <f t="shared" si="20"/>
        <v>0</v>
      </c>
      <c r="AH50" s="37">
        <f t="shared" si="21"/>
        <v>0</v>
      </c>
      <c r="AI50" s="37">
        <f t="shared" si="22"/>
        <v>0</v>
      </c>
      <c r="AJ50" s="4"/>
    </row>
    <row r="51" spans="1:36" s="94" customFormat="1" ht="20.55" customHeight="1">
      <c r="A51" s="23" t="s">
        <v>81</v>
      </c>
      <c r="B51" s="18"/>
      <c r="C51" s="7"/>
      <c r="D51" s="7"/>
      <c r="E51" s="7"/>
      <c r="F51" s="7"/>
      <c r="G51" s="30">
        <f t="shared" si="12"/>
        <v>0</v>
      </c>
      <c r="H51" s="7"/>
      <c r="I51" s="7"/>
      <c r="J51" s="7"/>
      <c r="K51" s="30">
        <f t="shared" si="13"/>
        <v>0</v>
      </c>
      <c r="L51" s="7"/>
      <c r="M51" s="7"/>
      <c r="N51" s="7"/>
      <c r="O51" s="30">
        <f t="shared" si="14"/>
        <v>0</v>
      </c>
      <c r="P51" s="7"/>
      <c r="Q51" s="7"/>
      <c r="R51" s="7"/>
      <c r="S51" s="30">
        <f t="shared" si="15"/>
        <v>0</v>
      </c>
      <c r="T51" s="7"/>
      <c r="U51" s="7"/>
      <c r="V51" s="7"/>
      <c r="W51" s="30">
        <f t="shared" si="16"/>
        <v>0</v>
      </c>
      <c r="X51" s="7"/>
      <c r="Y51" s="7"/>
      <c r="Z51" s="7"/>
      <c r="AA51" s="30">
        <f t="shared" si="17"/>
        <v>0</v>
      </c>
      <c r="AB51" s="7"/>
      <c r="AC51" s="7"/>
      <c r="AD51" s="7"/>
      <c r="AE51" s="30">
        <f t="shared" si="18"/>
        <v>0</v>
      </c>
      <c r="AF51" s="37">
        <f t="shared" si="19"/>
        <v>0</v>
      </c>
      <c r="AG51" s="31">
        <f t="shared" si="20"/>
        <v>0</v>
      </c>
      <c r="AH51" s="37">
        <f t="shared" si="21"/>
        <v>0</v>
      </c>
      <c r="AI51" s="37">
        <f t="shared" si="22"/>
        <v>0</v>
      </c>
      <c r="AJ51" s="7"/>
    </row>
    <row r="52" spans="1:36" ht="20.55" customHeight="1">
      <c r="A52" s="22" t="s">
        <v>92</v>
      </c>
      <c r="B52" s="34" t="s">
        <v>247</v>
      </c>
      <c r="C52" s="4" t="s">
        <v>248</v>
      </c>
      <c r="D52" s="4"/>
      <c r="E52" s="4"/>
      <c r="F52" s="4"/>
      <c r="G52" s="30">
        <f t="shared" si="12"/>
        <v>0</v>
      </c>
      <c r="H52" s="4"/>
      <c r="I52" s="4"/>
      <c r="J52" s="4"/>
      <c r="K52" s="30">
        <f t="shared" si="13"/>
        <v>0</v>
      </c>
      <c r="L52" s="4"/>
      <c r="M52" s="4"/>
      <c r="N52" s="4"/>
      <c r="O52" s="30">
        <f t="shared" si="14"/>
        <v>0</v>
      </c>
      <c r="P52" s="4"/>
      <c r="Q52" s="4"/>
      <c r="R52" s="4"/>
      <c r="S52" s="30">
        <f t="shared" si="15"/>
        <v>0</v>
      </c>
      <c r="T52" s="4"/>
      <c r="U52" s="4"/>
      <c r="V52" s="4"/>
      <c r="W52" s="30">
        <f t="shared" si="16"/>
        <v>0</v>
      </c>
      <c r="X52" s="4"/>
      <c r="Y52" s="4"/>
      <c r="Z52" s="4"/>
      <c r="AA52" s="30">
        <f t="shared" si="17"/>
        <v>0</v>
      </c>
      <c r="AB52" s="4"/>
      <c r="AC52" s="4"/>
      <c r="AD52" s="4"/>
      <c r="AE52" s="30">
        <f t="shared" si="18"/>
        <v>0</v>
      </c>
      <c r="AF52" s="37">
        <f t="shared" si="19"/>
        <v>0</v>
      </c>
      <c r="AG52" s="31">
        <f t="shared" si="20"/>
        <v>0</v>
      </c>
      <c r="AH52" s="37">
        <f t="shared" si="21"/>
        <v>0</v>
      </c>
      <c r="AI52" s="37">
        <f t="shared" si="22"/>
        <v>0</v>
      </c>
      <c r="AJ52" s="4"/>
    </row>
    <row r="53" spans="1:36" s="94" customFormat="1" ht="20.55" customHeight="1">
      <c r="A53" s="22" t="s">
        <v>92</v>
      </c>
      <c r="B53" s="18"/>
      <c r="C53" s="7"/>
      <c r="D53" s="7"/>
      <c r="E53" s="7"/>
      <c r="F53" s="7"/>
      <c r="G53" s="30">
        <f t="shared" si="12"/>
        <v>0</v>
      </c>
      <c r="H53" s="7"/>
      <c r="I53" s="7"/>
      <c r="J53" s="7"/>
      <c r="K53" s="30">
        <f t="shared" si="13"/>
        <v>0</v>
      </c>
      <c r="L53" s="7"/>
      <c r="M53" s="7"/>
      <c r="N53" s="7"/>
      <c r="O53" s="30">
        <f t="shared" si="14"/>
        <v>0</v>
      </c>
      <c r="P53" s="7"/>
      <c r="Q53" s="7"/>
      <c r="R53" s="7"/>
      <c r="S53" s="30">
        <f t="shared" si="15"/>
        <v>0</v>
      </c>
      <c r="T53" s="7"/>
      <c r="U53" s="7"/>
      <c r="V53" s="7"/>
      <c r="W53" s="30">
        <f t="shared" si="16"/>
        <v>0</v>
      </c>
      <c r="X53" s="7"/>
      <c r="Y53" s="7"/>
      <c r="Z53" s="7"/>
      <c r="AA53" s="30">
        <f t="shared" si="17"/>
        <v>0</v>
      </c>
      <c r="AB53" s="7"/>
      <c r="AC53" s="7"/>
      <c r="AD53" s="7"/>
      <c r="AE53" s="30">
        <f t="shared" si="18"/>
        <v>0</v>
      </c>
      <c r="AF53" s="37">
        <f t="shared" si="19"/>
        <v>0</v>
      </c>
      <c r="AG53" s="31">
        <f t="shared" si="20"/>
        <v>0</v>
      </c>
      <c r="AH53" s="37">
        <f t="shared" si="21"/>
        <v>0</v>
      </c>
      <c r="AI53" s="37">
        <f t="shared" si="22"/>
        <v>0</v>
      </c>
      <c r="AJ53" s="7"/>
    </row>
    <row r="54" spans="1:36" ht="20.55" customHeight="1">
      <c r="A54" s="22" t="s">
        <v>92</v>
      </c>
      <c r="B54" s="34"/>
      <c r="C54" s="4"/>
      <c r="D54" s="4"/>
      <c r="E54" s="4"/>
      <c r="F54" s="4"/>
      <c r="G54" s="30">
        <f t="shared" si="12"/>
        <v>0</v>
      </c>
      <c r="H54" s="4"/>
      <c r="I54" s="4"/>
      <c r="J54" s="4"/>
      <c r="K54" s="30">
        <f t="shared" si="13"/>
        <v>0</v>
      </c>
      <c r="L54" s="4"/>
      <c r="M54" s="4"/>
      <c r="N54" s="4"/>
      <c r="O54" s="30">
        <f t="shared" si="14"/>
        <v>0</v>
      </c>
      <c r="P54" s="4"/>
      <c r="Q54" s="4"/>
      <c r="R54" s="4"/>
      <c r="S54" s="30">
        <f t="shared" si="15"/>
        <v>0</v>
      </c>
      <c r="T54" s="4"/>
      <c r="U54" s="4"/>
      <c r="V54" s="4"/>
      <c r="W54" s="30">
        <f t="shared" si="16"/>
        <v>0</v>
      </c>
      <c r="X54" s="4"/>
      <c r="Y54" s="4"/>
      <c r="Z54" s="4"/>
      <c r="AA54" s="30">
        <f t="shared" si="17"/>
        <v>0</v>
      </c>
      <c r="AB54" s="4"/>
      <c r="AC54" s="4"/>
      <c r="AD54" s="4"/>
      <c r="AE54" s="30">
        <f t="shared" si="18"/>
        <v>0</v>
      </c>
      <c r="AF54" s="37">
        <f t="shared" si="19"/>
        <v>0</v>
      </c>
      <c r="AG54" s="31">
        <f t="shared" si="20"/>
        <v>0</v>
      </c>
      <c r="AH54" s="37">
        <f t="shared" si="21"/>
        <v>0</v>
      </c>
      <c r="AI54" s="37">
        <f t="shared" si="22"/>
        <v>0</v>
      </c>
      <c r="AJ54" s="4"/>
    </row>
    <row r="55" spans="1:36" s="94" customFormat="1" ht="20.55" customHeight="1">
      <c r="A55" s="22" t="s">
        <v>92</v>
      </c>
      <c r="B55" s="18"/>
      <c r="C55" s="7"/>
      <c r="D55" s="7"/>
      <c r="E55" s="7"/>
      <c r="F55" s="7"/>
      <c r="G55" s="30">
        <f t="shared" si="12"/>
        <v>0</v>
      </c>
      <c r="H55" s="7"/>
      <c r="I55" s="7"/>
      <c r="J55" s="7"/>
      <c r="K55" s="30">
        <f t="shared" si="13"/>
        <v>0</v>
      </c>
      <c r="L55" s="7"/>
      <c r="M55" s="7"/>
      <c r="N55" s="7"/>
      <c r="O55" s="30">
        <f t="shared" si="14"/>
        <v>0</v>
      </c>
      <c r="P55" s="7"/>
      <c r="Q55" s="7"/>
      <c r="R55" s="7"/>
      <c r="S55" s="30">
        <f t="shared" si="15"/>
        <v>0</v>
      </c>
      <c r="T55" s="7"/>
      <c r="U55" s="7"/>
      <c r="V55" s="7"/>
      <c r="W55" s="30">
        <f t="shared" si="16"/>
        <v>0</v>
      </c>
      <c r="X55" s="7"/>
      <c r="Y55" s="7"/>
      <c r="Z55" s="7"/>
      <c r="AA55" s="30">
        <f t="shared" si="17"/>
        <v>0</v>
      </c>
      <c r="AB55" s="7"/>
      <c r="AC55" s="7"/>
      <c r="AD55" s="7"/>
      <c r="AE55" s="30">
        <f t="shared" si="18"/>
        <v>0</v>
      </c>
      <c r="AF55" s="37">
        <f t="shared" si="19"/>
        <v>0</v>
      </c>
      <c r="AG55" s="31">
        <f t="shared" si="20"/>
        <v>0</v>
      </c>
      <c r="AH55" s="37">
        <f t="shared" si="21"/>
        <v>0</v>
      </c>
      <c r="AI55" s="37">
        <f t="shared" si="22"/>
        <v>0</v>
      </c>
      <c r="AJ55" s="7"/>
    </row>
    <row r="56" spans="1:36" ht="20.55" customHeight="1">
      <c r="A56" s="22" t="s">
        <v>92</v>
      </c>
      <c r="B56" s="34"/>
      <c r="C56" s="4"/>
      <c r="D56" s="4"/>
      <c r="E56" s="4"/>
      <c r="F56" s="4"/>
      <c r="G56" s="30">
        <f t="shared" si="12"/>
        <v>0</v>
      </c>
      <c r="H56" s="4"/>
      <c r="I56" s="4"/>
      <c r="J56" s="4"/>
      <c r="K56" s="30">
        <f t="shared" si="13"/>
        <v>0</v>
      </c>
      <c r="L56" s="4"/>
      <c r="M56" s="4"/>
      <c r="N56" s="4"/>
      <c r="O56" s="30">
        <f t="shared" si="14"/>
        <v>0</v>
      </c>
      <c r="P56" s="4"/>
      <c r="Q56" s="4"/>
      <c r="R56" s="4"/>
      <c r="S56" s="30">
        <f t="shared" si="15"/>
        <v>0</v>
      </c>
      <c r="T56" s="4"/>
      <c r="U56" s="4"/>
      <c r="V56" s="4"/>
      <c r="W56" s="30">
        <f t="shared" si="16"/>
        <v>0</v>
      </c>
      <c r="X56" s="4"/>
      <c r="Y56" s="4"/>
      <c r="Z56" s="4"/>
      <c r="AA56" s="30">
        <f t="shared" si="17"/>
        <v>0</v>
      </c>
      <c r="AB56" s="4"/>
      <c r="AC56" s="4"/>
      <c r="AD56" s="4"/>
      <c r="AE56" s="30">
        <f t="shared" si="18"/>
        <v>0</v>
      </c>
      <c r="AF56" s="37">
        <f t="shared" si="19"/>
        <v>0</v>
      </c>
      <c r="AG56" s="31">
        <f t="shared" si="20"/>
        <v>0</v>
      </c>
      <c r="AH56" s="37">
        <f t="shared" si="21"/>
        <v>0</v>
      </c>
      <c r="AI56" s="37">
        <f t="shared" si="22"/>
        <v>0</v>
      </c>
      <c r="AJ56" s="4"/>
    </row>
    <row r="57" spans="1:36" s="94" customFormat="1" ht="20.55" customHeight="1">
      <c r="A57" s="21" t="s">
        <v>99</v>
      </c>
      <c r="B57" s="18"/>
      <c r="C57" s="7"/>
      <c r="D57" s="7"/>
      <c r="E57" s="7"/>
      <c r="F57" s="7"/>
      <c r="G57" s="30">
        <f t="shared" si="12"/>
        <v>0</v>
      </c>
      <c r="H57" s="7"/>
      <c r="I57" s="7"/>
      <c r="J57" s="7"/>
      <c r="K57" s="30">
        <f t="shared" si="13"/>
        <v>0</v>
      </c>
      <c r="L57" s="7"/>
      <c r="M57" s="7"/>
      <c r="N57" s="7"/>
      <c r="O57" s="30">
        <f t="shared" si="14"/>
        <v>0</v>
      </c>
      <c r="P57" s="7"/>
      <c r="Q57" s="7"/>
      <c r="R57" s="7"/>
      <c r="S57" s="30">
        <f t="shared" si="15"/>
        <v>0</v>
      </c>
      <c r="T57" s="7"/>
      <c r="U57" s="7"/>
      <c r="V57" s="7"/>
      <c r="W57" s="30">
        <f t="shared" si="16"/>
        <v>0</v>
      </c>
      <c r="X57" s="7"/>
      <c r="Y57" s="7"/>
      <c r="Z57" s="7"/>
      <c r="AA57" s="30">
        <f t="shared" si="17"/>
        <v>0</v>
      </c>
      <c r="AB57" s="7"/>
      <c r="AC57" s="7"/>
      <c r="AD57" s="7"/>
      <c r="AE57" s="30">
        <f t="shared" si="18"/>
        <v>0</v>
      </c>
      <c r="AF57" s="37">
        <f t="shared" si="19"/>
        <v>0</v>
      </c>
      <c r="AG57" s="31">
        <f t="shared" si="20"/>
        <v>0</v>
      </c>
      <c r="AH57" s="37">
        <f t="shared" si="21"/>
        <v>0</v>
      </c>
      <c r="AI57" s="37">
        <f t="shared" si="22"/>
        <v>0</v>
      </c>
      <c r="AJ57" s="7"/>
    </row>
    <row r="58" spans="1:36" ht="20.55" customHeight="1">
      <c r="A58" s="21" t="s">
        <v>99</v>
      </c>
      <c r="B58" s="34"/>
      <c r="C58" s="4"/>
      <c r="D58" s="4"/>
      <c r="E58" s="4"/>
      <c r="F58" s="4"/>
      <c r="G58" s="30">
        <f t="shared" si="12"/>
        <v>0</v>
      </c>
      <c r="H58" s="4"/>
      <c r="I58" s="4"/>
      <c r="J58" s="4"/>
      <c r="K58" s="30">
        <f t="shared" si="13"/>
        <v>0</v>
      </c>
      <c r="L58" s="4"/>
      <c r="M58" s="4"/>
      <c r="N58" s="4"/>
      <c r="O58" s="30">
        <f t="shared" si="14"/>
        <v>0</v>
      </c>
      <c r="P58" s="4"/>
      <c r="Q58" s="4"/>
      <c r="R58" s="4"/>
      <c r="S58" s="30">
        <f t="shared" si="15"/>
        <v>0</v>
      </c>
      <c r="T58" s="4"/>
      <c r="U58" s="4"/>
      <c r="V58" s="4"/>
      <c r="W58" s="30">
        <f t="shared" si="16"/>
        <v>0</v>
      </c>
      <c r="X58" s="4"/>
      <c r="Y58" s="4"/>
      <c r="Z58" s="4"/>
      <c r="AA58" s="30">
        <f t="shared" si="17"/>
        <v>0</v>
      </c>
      <c r="AB58" s="4"/>
      <c r="AC58" s="4"/>
      <c r="AD58" s="4"/>
      <c r="AE58" s="30">
        <f t="shared" si="18"/>
        <v>0</v>
      </c>
      <c r="AF58" s="37">
        <f t="shared" si="19"/>
        <v>0</v>
      </c>
      <c r="AG58" s="31">
        <f t="shared" si="20"/>
        <v>0</v>
      </c>
      <c r="AH58" s="37">
        <f t="shared" si="21"/>
        <v>0</v>
      </c>
      <c r="AI58" s="37">
        <f t="shared" si="22"/>
        <v>0</v>
      </c>
      <c r="AJ58" s="4"/>
    </row>
    <row r="59" spans="1:36" s="94" customFormat="1" ht="20.55" customHeight="1">
      <c r="A59" s="21" t="s">
        <v>99</v>
      </c>
      <c r="B59" s="18"/>
      <c r="C59" s="7"/>
      <c r="D59" s="7"/>
      <c r="E59" s="7"/>
      <c r="F59" s="7"/>
      <c r="G59" s="30">
        <f t="shared" si="12"/>
        <v>0</v>
      </c>
      <c r="H59" s="7"/>
      <c r="I59" s="7"/>
      <c r="J59" s="7"/>
      <c r="K59" s="30">
        <f t="shared" si="13"/>
        <v>0</v>
      </c>
      <c r="L59" s="7"/>
      <c r="M59" s="7"/>
      <c r="N59" s="7"/>
      <c r="O59" s="30">
        <f t="shared" si="14"/>
        <v>0</v>
      </c>
      <c r="P59" s="7"/>
      <c r="Q59" s="7"/>
      <c r="R59" s="7"/>
      <c r="S59" s="30">
        <f t="shared" si="15"/>
        <v>0</v>
      </c>
      <c r="T59" s="7"/>
      <c r="U59" s="7"/>
      <c r="V59" s="7"/>
      <c r="W59" s="30">
        <f t="shared" si="16"/>
        <v>0</v>
      </c>
      <c r="X59" s="7"/>
      <c r="Y59" s="7"/>
      <c r="Z59" s="7"/>
      <c r="AA59" s="30">
        <f t="shared" si="17"/>
        <v>0</v>
      </c>
      <c r="AB59" s="7"/>
      <c r="AC59" s="7"/>
      <c r="AD59" s="7"/>
      <c r="AE59" s="30">
        <f t="shared" si="18"/>
        <v>0</v>
      </c>
      <c r="AF59" s="37">
        <f t="shared" si="19"/>
        <v>0</v>
      </c>
      <c r="AG59" s="31">
        <f t="shared" si="20"/>
        <v>0</v>
      </c>
      <c r="AH59" s="37">
        <f t="shared" si="21"/>
        <v>0</v>
      </c>
      <c r="AI59" s="37">
        <f t="shared" si="22"/>
        <v>0</v>
      </c>
      <c r="AJ59" s="7"/>
    </row>
    <row r="60" spans="1:36" ht="20.55" customHeight="1">
      <c r="A60" s="21" t="s">
        <v>99</v>
      </c>
      <c r="B60" s="34"/>
      <c r="C60" s="4"/>
      <c r="D60" s="4"/>
      <c r="E60" s="4"/>
      <c r="F60" s="4"/>
      <c r="G60" s="30">
        <f t="shared" si="12"/>
        <v>0</v>
      </c>
      <c r="H60" s="4"/>
      <c r="I60" s="4"/>
      <c r="J60" s="4"/>
      <c r="K60" s="30">
        <f t="shared" si="13"/>
        <v>0</v>
      </c>
      <c r="L60" s="4"/>
      <c r="M60" s="4"/>
      <c r="N60" s="4"/>
      <c r="O60" s="30">
        <f t="shared" si="14"/>
        <v>0</v>
      </c>
      <c r="P60" s="4"/>
      <c r="Q60" s="4"/>
      <c r="R60" s="4"/>
      <c r="S60" s="30">
        <f t="shared" si="15"/>
        <v>0</v>
      </c>
      <c r="T60" s="4"/>
      <c r="U60" s="4"/>
      <c r="V60" s="4"/>
      <c r="W60" s="30">
        <f t="shared" si="16"/>
        <v>0</v>
      </c>
      <c r="X60" s="4"/>
      <c r="Y60" s="4"/>
      <c r="Z60" s="4"/>
      <c r="AA60" s="30">
        <f t="shared" si="17"/>
        <v>0</v>
      </c>
      <c r="AB60" s="4"/>
      <c r="AC60" s="4"/>
      <c r="AD60" s="4"/>
      <c r="AE60" s="30">
        <f t="shared" si="18"/>
        <v>0</v>
      </c>
      <c r="AF60" s="37">
        <f t="shared" si="19"/>
        <v>0</v>
      </c>
      <c r="AG60" s="31">
        <f t="shared" si="20"/>
        <v>0</v>
      </c>
      <c r="AH60" s="37">
        <f t="shared" si="21"/>
        <v>0</v>
      </c>
      <c r="AI60" s="37">
        <f t="shared" si="22"/>
        <v>0</v>
      </c>
      <c r="AJ60" s="4"/>
    </row>
    <row r="61" spans="1:36" s="94" customFormat="1" ht="20.55" customHeight="1">
      <c r="A61" s="21" t="s">
        <v>99</v>
      </c>
      <c r="B61" s="18"/>
      <c r="C61" s="7"/>
      <c r="D61" s="7"/>
      <c r="E61" s="7"/>
      <c r="F61" s="7"/>
      <c r="G61" s="30">
        <f t="shared" si="12"/>
        <v>0</v>
      </c>
      <c r="H61" s="7"/>
      <c r="I61" s="7"/>
      <c r="J61" s="7"/>
      <c r="K61" s="30">
        <f t="shared" si="13"/>
        <v>0</v>
      </c>
      <c r="L61" s="7"/>
      <c r="M61" s="7"/>
      <c r="N61" s="7"/>
      <c r="O61" s="30">
        <f t="shared" si="14"/>
        <v>0</v>
      </c>
      <c r="P61" s="7"/>
      <c r="Q61" s="7"/>
      <c r="R61" s="7"/>
      <c r="S61" s="30">
        <f t="shared" si="15"/>
        <v>0</v>
      </c>
      <c r="T61" s="7"/>
      <c r="U61" s="7"/>
      <c r="V61" s="7"/>
      <c r="W61" s="30">
        <f t="shared" si="16"/>
        <v>0</v>
      </c>
      <c r="X61" s="7"/>
      <c r="Y61" s="7"/>
      <c r="Z61" s="7"/>
      <c r="AA61" s="30">
        <f t="shared" si="17"/>
        <v>0</v>
      </c>
      <c r="AB61" s="7"/>
      <c r="AC61" s="7"/>
      <c r="AD61" s="7"/>
      <c r="AE61" s="30">
        <f t="shared" si="18"/>
        <v>0</v>
      </c>
      <c r="AF61" s="37">
        <f t="shared" si="19"/>
        <v>0</v>
      </c>
      <c r="AG61" s="31">
        <f t="shared" si="20"/>
        <v>0</v>
      </c>
      <c r="AH61" s="37">
        <f t="shared" si="21"/>
        <v>0</v>
      </c>
      <c r="AI61" s="37">
        <f t="shared" si="22"/>
        <v>0</v>
      </c>
      <c r="AJ61" s="7"/>
    </row>
    <row r="62" spans="1:36">
      <c r="A62" s="20" t="s">
        <v>104</v>
      </c>
      <c r="B62" s="34"/>
      <c r="C62" s="4"/>
      <c r="D62" s="4"/>
      <c r="E62" s="4"/>
      <c r="F62" s="4"/>
      <c r="G62" s="30">
        <f t="shared" si="12"/>
        <v>0</v>
      </c>
      <c r="H62" s="4"/>
      <c r="I62" s="4"/>
      <c r="J62" s="4"/>
      <c r="K62" s="30">
        <f t="shared" si="13"/>
        <v>0</v>
      </c>
      <c r="L62" s="4"/>
      <c r="M62" s="4"/>
      <c r="N62" s="4"/>
      <c r="O62" s="30">
        <f t="shared" si="14"/>
        <v>0</v>
      </c>
      <c r="P62" s="4"/>
      <c r="Q62" s="4"/>
      <c r="R62" s="4"/>
      <c r="S62" s="30">
        <f t="shared" si="15"/>
        <v>0</v>
      </c>
      <c r="T62" s="4"/>
      <c r="U62" s="4"/>
      <c r="V62" s="4"/>
      <c r="W62" s="30">
        <f t="shared" si="16"/>
        <v>0</v>
      </c>
      <c r="X62" s="4"/>
      <c r="Y62" s="4"/>
      <c r="Z62" s="4"/>
      <c r="AA62" s="30">
        <f t="shared" si="17"/>
        <v>0</v>
      </c>
      <c r="AB62" s="4"/>
      <c r="AC62" s="4"/>
      <c r="AD62" s="4"/>
      <c r="AE62" s="30">
        <f t="shared" si="18"/>
        <v>0</v>
      </c>
      <c r="AF62" s="37">
        <f t="shared" si="19"/>
        <v>0</v>
      </c>
      <c r="AG62" s="31">
        <f t="shared" si="20"/>
        <v>0</v>
      </c>
      <c r="AH62" s="37">
        <f t="shared" si="21"/>
        <v>0</v>
      </c>
      <c r="AI62" s="37">
        <f t="shared" si="22"/>
        <v>0</v>
      </c>
      <c r="AJ62" s="4"/>
    </row>
    <row r="63" spans="1:36" s="9" customFormat="1" ht="19.2" customHeight="1">
      <c r="A63" s="20" t="s">
        <v>104</v>
      </c>
      <c r="B63" s="18" t="s">
        <v>233</v>
      </c>
      <c r="C63" s="5" t="s">
        <v>234</v>
      </c>
      <c r="D63" s="5" t="s">
        <v>21</v>
      </c>
      <c r="E63" s="5" t="s">
        <v>18</v>
      </c>
      <c r="F63" s="5" t="s">
        <v>235</v>
      </c>
      <c r="G63" s="30">
        <f t="shared" si="12"/>
        <v>5</v>
      </c>
      <c r="H63" s="5" t="s">
        <v>236</v>
      </c>
      <c r="I63" s="5" t="s">
        <v>237</v>
      </c>
      <c r="J63" s="5" t="s">
        <v>29</v>
      </c>
      <c r="K63" s="30">
        <f t="shared" si="13"/>
        <v>50</v>
      </c>
      <c r="L63" s="5" t="s">
        <v>238</v>
      </c>
      <c r="M63" s="5" t="s">
        <v>239</v>
      </c>
      <c r="N63" s="5" t="s">
        <v>46</v>
      </c>
      <c r="O63" s="30">
        <f t="shared" si="14"/>
        <v>90</v>
      </c>
      <c r="P63" s="5" t="s">
        <v>236</v>
      </c>
      <c r="Q63" s="5" t="s">
        <v>240</v>
      </c>
      <c r="R63" s="5" t="s">
        <v>241</v>
      </c>
      <c r="S63" s="30">
        <f t="shared" si="15"/>
        <v>20</v>
      </c>
      <c r="T63" s="5" t="s">
        <v>242</v>
      </c>
      <c r="U63" s="5" t="s">
        <v>56</v>
      </c>
      <c r="V63" s="5" t="s">
        <v>63</v>
      </c>
      <c r="W63" s="30">
        <f t="shared" si="16"/>
        <v>60</v>
      </c>
      <c r="X63" s="5" t="s">
        <v>242</v>
      </c>
      <c r="Y63" s="5" t="s">
        <v>74</v>
      </c>
      <c r="Z63" s="5" t="s">
        <v>243</v>
      </c>
      <c r="AA63" s="30" t="e">
        <f t="shared" si="17"/>
        <v>#VALUE!</v>
      </c>
      <c r="AB63" s="5" t="s">
        <v>244</v>
      </c>
      <c r="AC63" s="5" t="s">
        <v>245</v>
      </c>
      <c r="AD63" s="5" t="s">
        <v>246</v>
      </c>
      <c r="AE63" s="30" t="e">
        <f t="shared" si="18"/>
        <v>#VALUE!</v>
      </c>
      <c r="AF63" s="37" t="e">
        <f t="shared" si="19"/>
        <v>#VALUE!</v>
      </c>
      <c r="AG63" s="31" t="e">
        <f t="shared" si="20"/>
        <v>#VALUE!</v>
      </c>
      <c r="AH63" s="37" t="e">
        <f t="shared" si="21"/>
        <v>#VALUE!</v>
      </c>
      <c r="AI63" s="37" t="e">
        <f t="shared" si="22"/>
        <v>#VALUE!</v>
      </c>
      <c r="AJ63" s="5"/>
    </row>
    <row r="64" spans="1:36">
      <c r="A64" s="20" t="s">
        <v>104</v>
      </c>
      <c r="B64" s="34"/>
      <c r="C64" s="4"/>
      <c r="D64" s="4"/>
      <c r="E64" s="4"/>
      <c r="F64" s="4"/>
      <c r="G64" s="30">
        <f t="shared" si="12"/>
        <v>0</v>
      </c>
      <c r="H64" s="4"/>
      <c r="I64" s="4"/>
      <c r="J64" s="4"/>
      <c r="K64" s="30">
        <f t="shared" si="13"/>
        <v>0</v>
      </c>
      <c r="L64" s="4"/>
      <c r="M64" s="4"/>
      <c r="N64" s="4"/>
      <c r="O64" s="30">
        <f t="shared" si="14"/>
        <v>0</v>
      </c>
      <c r="P64" s="4"/>
      <c r="Q64" s="4"/>
      <c r="R64" s="4"/>
      <c r="S64" s="30">
        <f t="shared" si="15"/>
        <v>0</v>
      </c>
      <c r="T64" s="4"/>
      <c r="U64" s="4"/>
      <c r="V64" s="4"/>
      <c r="W64" s="30">
        <f t="shared" si="16"/>
        <v>0</v>
      </c>
      <c r="X64" s="4"/>
      <c r="Y64" s="4"/>
      <c r="Z64" s="4"/>
      <c r="AA64" s="30">
        <f t="shared" si="17"/>
        <v>0</v>
      </c>
      <c r="AB64" s="4"/>
      <c r="AC64" s="4"/>
      <c r="AD64" s="4"/>
      <c r="AE64" s="30">
        <f t="shared" si="18"/>
        <v>0</v>
      </c>
      <c r="AF64" s="37">
        <f t="shared" si="19"/>
        <v>0</v>
      </c>
      <c r="AG64" s="31">
        <f t="shared" si="20"/>
        <v>0</v>
      </c>
      <c r="AH64" s="37">
        <f t="shared" si="21"/>
        <v>0</v>
      </c>
      <c r="AI64" s="37">
        <f t="shared" si="22"/>
        <v>0</v>
      </c>
      <c r="AJ64" s="4"/>
    </row>
    <row r="65" spans="1:36" s="94" customFormat="1">
      <c r="A65" s="20" t="s">
        <v>104</v>
      </c>
      <c r="B65" s="18"/>
      <c r="C65" s="7"/>
      <c r="D65" s="7"/>
      <c r="E65" s="7"/>
      <c r="F65" s="7"/>
      <c r="G65" s="30">
        <f t="shared" si="12"/>
        <v>0</v>
      </c>
      <c r="H65" s="7"/>
      <c r="I65" s="7"/>
      <c r="J65" s="7"/>
      <c r="K65" s="30">
        <f t="shared" si="13"/>
        <v>0</v>
      </c>
      <c r="L65" s="7"/>
      <c r="M65" s="7"/>
      <c r="N65" s="7"/>
      <c r="O65" s="30">
        <f t="shared" si="14"/>
        <v>0</v>
      </c>
      <c r="P65" s="7"/>
      <c r="Q65" s="7"/>
      <c r="R65" s="7"/>
      <c r="S65" s="30">
        <f t="shared" si="15"/>
        <v>0</v>
      </c>
      <c r="T65" s="7"/>
      <c r="U65" s="7"/>
      <c r="V65" s="7"/>
      <c r="W65" s="30">
        <f t="shared" si="16"/>
        <v>0</v>
      </c>
      <c r="X65" s="7"/>
      <c r="Y65" s="7"/>
      <c r="Z65" s="7"/>
      <c r="AA65" s="30">
        <f t="shared" si="17"/>
        <v>0</v>
      </c>
      <c r="AB65" s="7"/>
      <c r="AC65" s="7"/>
      <c r="AD65" s="7"/>
      <c r="AE65" s="30">
        <f t="shared" si="18"/>
        <v>0</v>
      </c>
      <c r="AF65" s="37">
        <f t="shared" si="19"/>
        <v>0</v>
      </c>
      <c r="AG65" s="31">
        <f t="shared" si="20"/>
        <v>0</v>
      </c>
      <c r="AH65" s="37">
        <f t="shared" si="21"/>
        <v>0</v>
      </c>
      <c r="AI65" s="37">
        <f t="shared" si="22"/>
        <v>0</v>
      </c>
      <c r="AJ65" s="7"/>
    </row>
    <row r="66" spans="1:36" ht="20.55" customHeight="1">
      <c r="A66" s="20" t="s">
        <v>104</v>
      </c>
      <c r="B66" s="34"/>
      <c r="C66" s="4"/>
      <c r="D66" s="4"/>
      <c r="E66" s="4"/>
      <c r="F66" s="4"/>
      <c r="G66" s="30">
        <f t="shared" ref="G66:G80" si="23">SUM(F66-E66)</f>
        <v>0</v>
      </c>
      <c r="H66" s="4"/>
      <c r="I66" s="4"/>
      <c r="J66" s="4"/>
      <c r="K66" s="30">
        <f t="shared" ref="K66:K80" si="24">SUM(J66-I66)</f>
        <v>0</v>
      </c>
      <c r="L66" s="4"/>
      <c r="M66" s="4"/>
      <c r="N66" s="4"/>
      <c r="O66" s="30">
        <f t="shared" ref="O66:O80" si="25">SUM(N66-M66)</f>
        <v>0</v>
      </c>
      <c r="P66" s="4"/>
      <c r="Q66" s="4"/>
      <c r="R66" s="4"/>
      <c r="S66" s="30">
        <f t="shared" ref="S66:S80" si="26">SUM(R66-Q66)</f>
        <v>0</v>
      </c>
      <c r="T66" s="4"/>
      <c r="U66" s="4"/>
      <c r="V66" s="4"/>
      <c r="W66" s="30">
        <f t="shared" ref="W66:W80" si="27">SUM(V66-U66)</f>
        <v>0</v>
      </c>
      <c r="X66" s="4"/>
      <c r="Y66" s="4"/>
      <c r="Z66" s="4"/>
      <c r="AA66" s="30">
        <f t="shared" ref="AA66:AA80" si="28">SUM(Z66-Y66)</f>
        <v>0</v>
      </c>
      <c r="AB66" s="4"/>
      <c r="AC66" s="4"/>
      <c r="AD66" s="4"/>
      <c r="AE66" s="30">
        <f t="shared" ref="AE66:AE80" si="29">SUM(AD66-AC66)</f>
        <v>0</v>
      </c>
      <c r="AF66" s="37">
        <f t="shared" ref="AF66:AF80" si="30">SUM(G66+K66+O66+S66+W66+AA66+AE66)</f>
        <v>0</v>
      </c>
      <c r="AG66" s="31">
        <f t="shared" ref="AG66:AG80" si="31">SUM(H66+L66+P66+T66+X66-AB66)</f>
        <v>0</v>
      </c>
      <c r="AH66" s="37">
        <f t="shared" ref="AH66:AH80" si="32">AG66/85400</f>
        <v>0</v>
      </c>
      <c r="AI66" s="37">
        <f t="shared" ref="AI66:AI80" si="33">SUM(AF66+AH66)</f>
        <v>0</v>
      </c>
      <c r="AJ66" s="4"/>
    </row>
    <row r="67" spans="1:36" s="94" customFormat="1" ht="24.45" customHeight="1">
      <c r="A67" s="21" t="s">
        <v>249</v>
      </c>
      <c r="B67" s="18"/>
      <c r="C67" s="7"/>
      <c r="D67" s="7"/>
      <c r="E67" s="7"/>
      <c r="F67" s="7"/>
      <c r="G67" s="30">
        <f t="shared" si="23"/>
        <v>0</v>
      </c>
      <c r="H67" s="7"/>
      <c r="I67" s="7"/>
      <c r="J67" s="7"/>
      <c r="K67" s="30">
        <f t="shared" si="24"/>
        <v>0</v>
      </c>
      <c r="L67" s="7"/>
      <c r="M67" s="7"/>
      <c r="N67" s="7"/>
      <c r="O67" s="30">
        <f t="shared" si="25"/>
        <v>0</v>
      </c>
      <c r="P67" s="7"/>
      <c r="Q67" s="7"/>
      <c r="R67" s="7"/>
      <c r="S67" s="30">
        <f t="shared" si="26"/>
        <v>0</v>
      </c>
      <c r="T67" s="7"/>
      <c r="U67" s="7"/>
      <c r="V67" s="7"/>
      <c r="W67" s="30">
        <f t="shared" si="27"/>
        <v>0</v>
      </c>
      <c r="X67" s="7"/>
      <c r="Y67" s="7"/>
      <c r="Z67" s="7"/>
      <c r="AA67" s="30">
        <f t="shared" si="28"/>
        <v>0</v>
      </c>
      <c r="AB67" s="7"/>
      <c r="AC67" s="7"/>
      <c r="AD67" s="7"/>
      <c r="AE67" s="30">
        <f t="shared" si="29"/>
        <v>0</v>
      </c>
      <c r="AF67" s="37">
        <f t="shared" si="30"/>
        <v>0</v>
      </c>
      <c r="AG67" s="31">
        <f t="shared" si="31"/>
        <v>0</v>
      </c>
      <c r="AH67" s="37">
        <f t="shared" si="32"/>
        <v>0</v>
      </c>
      <c r="AI67" s="37">
        <f t="shared" si="33"/>
        <v>0</v>
      </c>
      <c r="AJ67" s="7"/>
    </row>
    <row r="68" spans="1:36" ht="24.45" customHeight="1">
      <c r="A68" s="21" t="s">
        <v>249</v>
      </c>
      <c r="B68" s="34"/>
      <c r="C68" s="4"/>
      <c r="D68" s="4"/>
      <c r="E68" s="4"/>
      <c r="F68" s="4"/>
      <c r="G68" s="30">
        <f t="shared" si="23"/>
        <v>0</v>
      </c>
      <c r="H68" s="4"/>
      <c r="I68" s="4"/>
      <c r="J68" s="4"/>
      <c r="K68" s="30">
        <f t="shared" si="24"/>
        <v>0</v>
      </c>
      <c r="L68" s="4"/>
      <c r="M68" s="4"/>
      <c r="N68" s="4"/>
      <c r="O68" s="30">
        <f t="shared" si="25"/>
        <v>0</v>
      </c>
      <c r="P68" s="4"/>
      <c r="Q68" s="4"/>
      <c r="R68" s="4"/>
      <c r="S68" s="30">
        <f t="shared" si="26"/>
        <v>0</v>
      </c>
      <c r="T68" s="4"/>
      <c r="U68" s="4"/>
      <c r="V68" s="4"/>
      <c r="W68" s="30">
        <f t="shared" si="27"/>
        <v>0</v>
      </c>
      <c r="X68" s="4"/>
      <c r="Y68" s="4"/>
      <c r="Z68" s="4"/>
      <c r="AA68" s="30">
        <f t="shared" si="28"/>
        <v>0</v>
      </c>
      <c r="AB68" s="4"/>
      <c r="AC68" s="4"/>
      <c r="AD68" s="4"/>
      <c r="AE68" s="30">
        <f t="shared" si="29"/>
        <v>0</v>
      </c>
      <c r="AF68" s="37">
        <f t="shared" si="30"/>
        <v>0</v>
      </c>
      <c r="AG68" s="31">
        <f t="shared" si="31"/>
        <v>0</v>
      </c>
      <c r="AH68" s="37">
        <f t="shared" si="32"/>
        <v>0</v>
      </c>
      <c r="AI68" s="37">
        <f t="shared" si="33"/>
        <v>0</v>
      </c>
      <c r="AJ68" s="4"/>
    </row>
    <row r="69" spans="1:36" s="94" customFormat="1" ht="20.55" customHeight="1">
      <c r="A69" s="21" t="s">
        <v>249</v>
      </c>
      <c r="B69" s="18"/>
      <c r="C69" s="7"/>
      <c r="D69" s="7"/>
      <c r="E69" s="7"/>
      <c r="F69" s="7"/>
      <c r="G69" s="30">
        <f t="shared" si="23"/>
        <v>0</v>
      </c>
      <c r="H69" s="7"/>
      <c r="I69" s="7"/>
      <c r="J69" s="7"/>
      <c r="K69" s="30">
        <f t="shared" si="24"/>
        <v>0</v>
      </c>
      <c r="L69" s="7"/>
      <c r="M69" s="7"/>
      <c r="N69" s="7"/>
      <c r="O69" s="30">
        <f t="shared" si="25"/>
        <v>0</v>
      </c>
      <c r="P69" s="7"/>
      <c r="Q69" s="7"/>
      <c r="R69" s="7"/>
      <c r="S69" s="30">
        <f t="shared" si="26"/>
        <v>0</v>
      </c>
      <c r="T69" s="7"/>
      <c r="U69" s="7"/>
      <c r="V69" s="7"/>
      <c r="W69" s="30">
        <f t="shared" si="27"/>
        <v>0</v>
      </c>
      <c r="X69" s="7"/>
      <c r="Y69" s="7"/>
      <c r="Z69" s="7"/>
      <c r="AA69" s="30">
        <f t="shared" si="28"/>
        <v>0</v>
      </c>
      <c r="AB69" s="7"/>
      <c r="AC69" s="7"/>
      <c r="AD69" s="7"/>
      <c r="AE69" s="30">
        <f t="shared" si="29"/>
        <v>0</v>
      </c>
      <c r="AF69" s="37">
        <f t="shared" si="30"/>
        <v>0</v>
      </c>
      <c r="AG69" s="31">
        <f t="shared" si="31"/>
        <v>0</v>
      </c>
      <c r="AH69" s="37">
        <f t="shared" si="32"/>
        <v>0</v>
      </c>
      <c r="AI69" s="37">
        <f t="shared" si="33"/>
        <v>0</v>
      </c>
      <c r="AJ69" s="7"/>
    </row>
    <row r="70" spans="1:36" ht="20.55" customHeight="1">
      <c r="A70" s="21" t="s">
        <v>249</v>
      </c>
      <c r="B70" s="34"/>
      <c r="C70" s="4"/>
      <c r="D70" s="4"/>
      <c r="E70" s="4"/>
      <c r="F70" s="4"/>
      <c r="G70" s="30">
        <f t="shared" si="23"/>
        <v>0</v>
      </c>
      <c r="H70" s="4"/>
      <c r="I70" s="4"/>
      <c r="J70" s="4"/>
      <c r="K70" s="30">
        <f t="shared" si="24"/>
        <v>0</v>
      </c>
      <c r="L70" s="4"/>
      <c r="M70" s="4"/>
      <c r="N70" s="4"/>
      <c r="O70" s="30">
        <f t="shared" si="25"/>
        <v>0</v>
      </c>
      <c r="P70" s="4"/>
      <c r="Q70" s="4"/>
      <c r="R70" s="4"/>
      <c r="S70" s="30">
        <f t="shared" si="26"/>
        <v>0</v>
      </c>
      <c r="T70" s="4"/>
      <c r="U70" s="4"/>
      <c r="V70" s="4"/>
      <c r="W70" s="30">
        <f t="shared" si="27"/>
        <v>0</v>
      </c>
      <c r="X70" s="4"/>
      <c r="Y70" s="4"/>
      <c r="Z70" s="4"/>
      <c r="AA70" s="30">
        <f t="shared" si="28"/>
        <v>0</v>
      </c>
      <c r="AB70" s="4"/>
      <c r="AC70" s="4"/>
      <c r="AD70" s="4"/>
      <c r="AE70" s="30">
        <f t="shared" si="29"/>
        <v>0</v>
      </c>
      <c r="AF70" s="37">
        <f t="shared" si="30"/>
        <v>0</v>
      </c>
      <c r="AG70" s="31">
        <f t="shared" si="31"/>
        <v>0</v>
      </c>
      <c r="AH70" s="37">
        <f t="shared" si="32"/>
        <v>0</v>
      </c>
      <c r="AI70" s="37">
        <f t="shared" si="33"/>
        <v>0</v>
      </c>
      <c r="AJ70" s="4"/>
    </row>
    <row r="71" spans="1:36" ht="24.45" customHeight="1">
      <c r="A71" s="21" t="s">
        <v>249</v>
      </c>
      <c r="B71" s="34"/>
      <c r="C71" s="4"/>
      <c r="D71" s="4"/>
      <c r="E71" s="4"/>
      <c r="F71" s="4"/>
      <c r="G71" s="30">
        <f t="shared" si="23"/>
        <v>0</v>
      </c>
      <c r="H71" s="4"/>
      <c r="I71" s="4"/>
      <c r="J71" s="4"/>
      <c r="K71" s="30">
        <f t="shared" si="24"/>
        <v>0</v>
      </c>
      <c r="L71" s="4"/>
      <c r="M71" s="4"/>
      <c r="N71" s="4"/>
      <c r="O71" s="30">
        <f t="shared" si="25"/>
        <v>0</v>
      </c>
      <c r="P71" s="4"/>
      <c r="Q71" s="4"/>
      <c r="R71" s="4"/>
      <c r="S71" s="30">
        <f t="shared" si="26"/>
        <v>0</v>
      </c>
      <c r="T71" s="4"/>
      <c r="U71" s="4"/>
      <c r="V71" s="4"/>
      <c r="W71" s="30">
        <f t="shared" si="27"/>
        <v>0</v>
      </c>
      <c r="X71" s="4"/>
      <c r="Y71" s="4"/>
      <c r="Z71" s="4"/>
      <c r="AA71" s="30">
        <f t="shared" si="28"/>
        <v>0</v>
      </c>
      <c r="AB71" s="4"/>
      <c r="AC71" s="4"/>
      <c r="AD71" s="4"/>
      <c r="AE71" s="30">
        <f t="shared" si="29"/>
        <v>0</v>
      </c>
      <c r="AF71" s="37">
        <f t="shared" si="30"/>
        <v>0</v>
      </c>
      <c r="AG71" s="31">
        <f t="shared" si="31"/>
        <v>0</v>
      </c>
      <c r="AH71" s="37">
        <f t="shared" si="32"/>
        <v>0</v>
      </c>
      <c r="AI71" s="37">
        <f t="shared" si="33"/>
        <v>0</v>
      </c>
      <c r="AJ71" s="4"/>
    </row>
    <row r="72" spans="1:36" s="9" customFormat="1" ht="19.2" customHeight="1">
      <c r="A72" s="20" t="s">
        <v>111</v>
      </c>
      <c r="B72" s="18" t="s">
        <v>233</v>
      </c>
      <c r="C72" s="5" t="s">
        <v>234</v>
      </c>
      <c r="D72" s="5" t="s">
        <v>21</v>
      </c>
      <c r="E72" s="5" t="s">
        <v>18</v>
      </c>
      <c r="F72" s="5" t="s">
        <v>235</v>
      </c>
      <c r="G72" s="30">
        <f t="shared" si="23"/>
        <v>5</v>
      </c>
      <c r="H72" s="5" t="s">
        <v>236</v>
      </c>
      <c r="I72" s="5" t="s">
        <v>237</v>
      </c>
      <c r="J72" s="5" t="s">
        <v>29</v>
      </c>
      <c r="K72" s="30">
        <f t="shared" si="24"/>
        <v>50</v>
      </c>
      <c r="L72" s="5" t="s">
        <v>238</v>
      </c>
      <c r="M72" s="5" t="s">
        <v>239</v>
      </c>
      <c r="N72" s="5" t="s">
        <v>46</v>
      </c>
      <c r="O72" s="30">
        <f t="shared" si="25"/>
        <v>90</v>
      </c>
      <c r="P72" s="5" t="s">
        <v>236</v>
      </c>
      <c r="Q72" s="5" t="s">
        <v>240</v>
      </c>
      <c r="R72" s="5" t="s">
        <v>241</v>
      </c>
      <c r="S72" s="30">
        <f t="shared" si="26"/>
        <v>20</v>
      </c>
      <c r="T72" s="5" t="s">
        <v>242</v>
      </c>
      <c r="U72" s="5" t="s">
        <v>56</v>
      </c>
      <c r="V72" s="5" t="s">
        <v>63</v>
      </c>
      <c r="W72" s="30">
        <f t="shared" si="27"/>
        <v>60</v>
      </c>
      <c r="X72" s="5" t="s">
        <v>242</v>
      </c>
      <c r="Y72" s="5" t="s">
        <v>74</v>
      </c>
      <c r="Z72" s="5" t="s">
        <v>243</v>
      </c>
      <c r="AA72" s="30" t="e">
        <f t="shared" si="28"/>
        <v>#VALUE!</v>
      </c>
      <c r="AB72" s="5" t="s">
        <v>244</v>
      </c>
      <c r="AC72" s="5" t="s">
        <v>245</v>
      </c>
      <c r="AD72" s="5" t="s">
        <v>246</v>
      </c>
      <c r="AE72" s="30" t="e">
        <f t="shared" si="29"/>
        <v>#VALUE!</v>
      </c>
      <c r="AF72" s="37" t="e">
        <f t="shared" si="30"/>
        <v>#VALUE!</v>
      </c>
      <c r="AG72" s="31" t="e">
        <f t="shared" si="31"/>
        <v>#VALUE!</v>
      </c>
      <c r="AH72" s="37" t="e">
        <f t="shared" si="32"/>
        <v>#VALUE!</v>
      </c>
      <c r="AI72" s="37" t="e">
        <f t="shared" si="33"/>
        <v>#VALUE!</v>
      </c>
      <c r="AJ72" s="5"/>
    </row>
    <row r="73" spans="1:36" ht="26.55" customHeight="1">
      <c r="A73" s="20" t="s">
        <v>111</v>
      </c>
      <c r="B73" s="34"/>
      <c r="C73" s="4"/>
      <c r="D73" s="4"/>
      <c r="E73" s="4"/>
      <c r="F73" s="4"/>
      <c r="G73" s="30">
        <f t="shared" si="23"/>
        <v>0</v>
      </c>
      <c r="H73" s="4"/>
      <c r="I73" s="4"/>
      <c r="J73" s="4"/>
      <c r="K73" s="30">
        <f t="shared" si="24"/>
        <v>0</v>
      </c>
      <c r="L73" s="4"/>
      <c r="M73" s="4"/>
      <c r="N73" s="4"/>
      <c r="O73" s="30">
        <f t="shared" si="25"/>
        <v>0</v>
      </c>
      <c r="P73" s="4"/>
      <c r="Q73" s="4"/>
      <c r="R73" s="4"/>
      <c r="S73" s="30">
        <f t="shared" si="26"/>
        <v>0</v>
      </c>
      <c r="T73" s="4"/>
      <c r="U73" s="4"/>
      <c r="V73" s="4"/>
      <c r="W73" s="30">
        <f t="shared" si="27"/>
        <v>0</v>
      </c>
      <c r="X73" s="4"/>
      <c r="Y73" s="4"/>
      <c r="Z73" s="4"/>
      <c r="AA73" s="30">
        <f t="shared" si="28"/>
        <v>0</v>
      </c>
      <c r="AB73" s="4"/>
      <c r="AC73" s="4"/>
      <c r="AD73" s="4"/>
      <c r="AE73" s="30">
        <f t="shared" si="29"/>
        <v>0</v>
      </c>
      <c r="AF73" s="37">
        <f t="shared" si="30"/>
        <v>0</v>
      </c>
      <c r="AG73" s="31">
        <f t="shared" si="31"/>
        <v>0</v>
      </c>
      <c r="AH73" s="37">
        <f t="shared" si="32"/>
        <v>0</v>
      </c>
      <c r="AI73" s="37">
        <f t="shared" si="33"/>
        <v>0</v>
      </c>
      <c r="AJ73" s="4"/>
    </row>
    <row r="74" spans="1:36" s="94" customFormat="1" ht="29.55" customHeight="1">
      <c r="A74" s="20" t="s">
        <v>111</v>
      </c>
      <c r="B74" s="18"/>
      <c r="C74" s="7"/>
      <c r="D74" s="7"/>
      <c r="E74" s="7"/>
      <c r="F74" s="7"/>
      <c r="G74" s="30">
        <f t="shared" si="23"/>
        <v>0</v>
      </c>
      <c r="H74" s="7"/>
      <c r="I74" s="7"/>
      <c r="J74" s="7"/>
      <c r="K74" s="30">
        <f t="shared" si="24"/>
        <v>0</v>
      </c>
      <c r="L74" s="7"/>
      <c r="M74" s="7"/>
      <c r="N74" s="7"/>
      <c r="O74" s="30">
        <f t="shared" si="25"/>
        <v>0</v>
      </c>
      <c r="P74" s="7"/>
      <c r="Q74" s="7"/>
      <c r="R74" s="7"/>
      <c r="S74" s="30">
        <f t="shared" si="26"/>
        <v>0</v>
      </c>
      <c r="T74" s="7"/>
      <c r="U74" s="7"/>
      <c r="V74" s="7"/>
      <c r="W74" s="30">
        <f t="shared" si="27"/>
        <v>0</v>
      </c>
      <c r="X74" s="7"/>
      <c r="Y74" s="7"/>
      <c r="Z74" s="7"/>
      <c r="AA74" s="30">
        <f t="shared" si="28"/>
        <v>0</v>
      </c>
      <c r="AB74" s="7"/>
      <c r="AC74" s="7"/>
      <c r="AD74" s="7"/>
      <c r="AE74" s="30">
        <f t="shared" si="29"/>
        <v>0</v>
      </c>
      <c r="AF74" s="37">
        <f t="shared" si="30"/>
        <v>0</v>
      </c>
      <c r="AG74" s="31">
        <f t="shared" si="31"/>
        <v>0</v>
      </c>
      <c r="AH74" s="37">
        <f t="shared" si="32"/>
        <v>0</v>
      </c>
      <c r="AI74" s="37">
        <f t="shared" si="33"/>
        <v>0</v>
      </c>
      <c r="AJ74" s="7"/>
    </row>
    <row r="75" spans="1:36" ht="20.55" customHeight="1">
      <c r="A75" s="20" t="s">
        <v>111</v>
      </c>
      <c r="B75" s="34"/>
      <c r="C75" s="4"/>
      <c r="D75" s="4"/>
      <c r="E75" s="4"/>
      <c r="F75" s="4"/>
      <c r="G75" s="30">
        <f t="shared" si="23"/>
        <v>0</v>
      </c>
      <c r="H75" s="4"/>
      <c r="I75" s="4"/>
      <c r="J75" s="4"/>
      <c r="K75" s="30">
        <f t="shared" si="24"/>
        <v>0</v>
      </c>
      <c r="L75" s="4"/>
      <c r="M75" s="4"/>
      <c r="N75" s="4"/>
      <c r="O75" s="30">
        <f t="shared" si="25"/>
        <v>0</v>
      </c>
      <c r="P75" s="4"/>
      <c r="Q75" s="4"/>
      <c r="R75" s="4"/>
      <c r="S75" s="30">
        <f t="shared" si="26"/>
        <v>0</v>
      </c>
      <c r="T75" s="4"/>
      <c r="U75" s="4"/>
      <c r="V75" s="4"/>
      <c r="W75" s="30">
        <f t="shared" si="27"/>
        <v>0</v>
      </c>
      <c r="X75" s="4"/>
      <c r="Y75" s="4"/>
      <c r="Z75" s="4"/>
      <c r="AA75" s="30">
        <f t="shared" si="28"/>
        <v>0</v>
      </c>
      <c r="AB75" s="4"/>
      <c r="AC75" s="4"/>
      <c r="AD75" s="4"/>
      <c r="AE75" s="30">
        <f t="shared" si="29"/>
        <v>0</v>
      </c>
      <c r="AF75" s="37">
        <f t="shared" si="30"/>
        <v>0</v>
      </c>
      <c r="AG75" s="31">
        <f t="shared" si="31"/>
        <v>0</v>
      </c>
      <c r="AH75" s="37">
        <f t="shared" si="32"/>
        <v>0</v>
      </c>
      <c r="AI75" s="37">
        <f t="shared" si="33"/>
        <v>0</v>
      </c>
      <c r="AJ75" s="4"/>
    </row>
    <row r="76" spans="1:36" s="9" customFormat="1" ht="19.2" customHeight="1">
      <c r="A76" s="20" t="s">
        <v>111</v>
      </c>
      <c r="B76" s="18" t="s">
        <v>250</v>
      </c>
      <c r="C76" s="5" t="s">
        <v>234</v>
      </c>
      <c r="D76" s="5" t="s">
        <v>21</v>
      </c>
      <c r="E76" s="5" t="s">
        <v>18</v>
      </c>
      <c r="F76" s="5" t="s">
        <v>235</v>
      </c>
      <c r="G76" s="30">
        <f t="shared" si="23"/>
        <v>5</v>
      </c>
      <c r="H76" s="5" t="s">
        <v>236</v>
      </c>
      <c r="I76" s="5" t="s">
        <v>237</v>
      </c>
      <c r="J76" s="5" t="s">
        <v>29</v>
      </c>
      <c r="K76" s="30">
        <f t="shared" si="24"/>
        <v>50</v>
      </c>
      <c r="L76" s="5" t="s">
        <v>238</v>
      </c>
      <c r="M76" s="5" t="s">
        <v>239</v>
      </c>
      <c r="N76" s="5" t="s">
        <v>46</v>
      </c>
      <c r="O76" s="30">
        <f t="shared" si="25"/>
        <v>90</v>
      </c>
      <c r="P76" s="5" t="s">
        <v>236</v>
      </c>
      <c r="Q76" s="5" t="s">
        <v>240</v>
      </c>
      <c r="R76" s="5" t="s">
        <v>241</v>
      </c>
      <c r="S76" s="30">
        <f t="shared" si="26"/>
        <v>20</v>
      </c>
      <c r="T76" s="5" t="s">
        <v>242</v>
      </c>
      <c r="U76" s="5" t="s">
        <v>56</v>
      </c>
      <c r="V76" s="5" t="s">
        <v>63</v>
      </c>
      <c r="W76" s="30">
        <f t="shared" si="27"/>
        <v>60</v>
      </c>
      <c r="X76" s="5" t="s">
        <v>242</v>
      </c>
      <c r="Y76" s="5" t="s">
        <v>74</v>
      </c>
      <c r="Z76" s="5" t="s">
        <v>243</v>
      </c>
      <c r="AA76" s="30" t="e">
        <f t="shared" si="28"/>
        <v>#VALUE!</v>
      </c>
      <c r="AB76" s="5" t="s">
        <v>244</v>
      </c>
      <c r="AC76" s="5" t="s">
        <v>245</v>
      </c>
      <c r="AD76" s="5" t="s">
        <v>246</v>
      </c>
      <c r="AE76" s="30" t="e">
        <f t="shared" si="29"/>
        <v>#VALUE!</v>
      </c>
      <c r="AF76" s="37" t="e">
        <f t="shared" si="30"/>
        <v>#VALUE!</v>
      </c>
      <c r="AG76" s="31" t="e">
        <f t="shared" si="31"/>
        <v>#VALUE!</v>
      </c>
      <c r="AH76" s="37" t="e">
        <f t="shared" si="32"/>
        <v>#VALUE!</v>
      </c>
      <c r="AI76" s="37" t="e">
        <f t="shared" si="33"/>
        <v>#VALUE!</v>
      </c>
      <c r="AJ76" s="5"/>
    </row>
    <row r="77" spans="1:36" ht="24.45" customHeight="1">
      <c r="A77" s="21" t="s">
        <v>120</v>
      </c>
      <c r="B77" s="34"/>
      <c r="C77" s="4"/>
      <c r="D77" s="4"/>
      <c r="E77" s="4"/>
      <c r="F77" s="4"/>
      <c r="G77" s="30">
        <f t="shared" si="23"/>
        <v>0</v>
      </c>
      <c r="H77" s="4"/>
      <c r="I77" s="4"/>
      <c r="J77" s="4"/>
      <c r="K77" s="30">
        <f t="shared" si="24"/>
        <v>0</v>
      </c>
      <c r="L77" s="4"/>
      <c r="M77" s="4"/>
      <c r="N77" s="4"/>
      <c r="O77" s="30">
        <f t="shared" si="25"/>
        <v>0</v>
      </c>
      <c r="P77" s="4"/>
      <c r="Q77" s="4"/>
      <c r="R77" s="4"/>
      <c r="S77" s="30">
        <f t="shared" si="26"/>
        <v>0</v>
      </c>
      <c r="T77" s="4"/>
      <c r="U77" s="4"/>
      <c r="V77" s="4"/>
      <c r="W77" s="30">
        <f t="shared" si="27"/>
        <v>0</v>
      </c>
      <c r="X77" s="4"/>
      <c r="Y77" s="4"/>
      <c r="Z77" s="4"/>
      <c r="AA77" s="30">
        <f t="shared" si="28"/>
        <v>0</v>
      </c>
      <c r="AB77" s="4"/>
      <c r="AC77" s="4"/>
      <c r="AD77" s="4"/>
      <c r="AE77" s="30">
        <f t="shared" si="29"/>
        <v>0</v>
      </c>
      <c r="AF77" s="37">
        <f t="shared" si="30"/>
        <v>0</v>
      </c>
      <c r="AG77" s="31">
        <f t="shared" si="31"/>
        <v>0</v>
      </c>
      <c r="AH77" s="37">
        <f t="shared" si="32"/>
        <v>0</v>
      </c>
      <c r="AI77" s="37">
        <f t="shared" si="33"/>
        <v>0</v>
      </c>
      <c r="AJ77" s="4"/>
    </row>
    <row r="78" spans="1:36" s="94" customFormat="1" ht="24.45" customHeight="1">
      <c r="A78" s="21" t="s">
        <v>120</v>
      </c>
      <c r="B78" s="18"/>
      <c r="C78" s="7"/>
      <c r="D78" s="7"/>
      <c r="E78" s="7"/>
      <c r="F78" s="7"/>
      <c r="G78" s="30">
        <f t="shared" si="23"/>
        <v>0</v>
      </c>
      <c r="H78" s="7"/>
      <c r="I78" s="7"/>
      <c r="J78" s="7"/>
      <c r="K78" s="30">
        <f t="shared" si="24"/>
        <v>0</v>
      </c>
      <c r="L78" s="7"/>
      <c r="M78" s="7"/>
      <c r="N78" s="7"/>
      <c r="O78" s="30">
        <f t="shared" si="25"/>
        <v>0</v>
      </c>
      <c r="P78" s="7"/>
      <c r="Q78" s="7"/>
      <c r="R78" s="7"/>
      <c r="S78" s="30">
        <f t="shared" si="26"/>
        <v>0</v>
      </c>
      <c r="T78" s="7"/>
      <c r="U78" s="7"/>
      <c r="V78" s="7"/>
      <c r="W78" s="30">
        <f t="shared" si="27"/>
        <v>0</v>
      </c>
      <c r="X78" s="7"/>
      <c r="Y78" s="7"/>
      <c r="Z78" s="7"/>
      <c r="AA78" s="30">
        <f t="shared" si="28"/>
        <v>0</v>
      </c>
      <c r="AB78" s="7"/>
      <c r="AC78" s="7"/>
      <c r="AD78" s="7"/>
      <c r="AE78" s="30">
        <f t="shared" si="29"/>
        <v>0</v>
      </c>
      <c r="AF78" s="37">
        <f t="shared" si="30"/>
        <v>0</v>
      </c>
      <c r="AG78" s="31">
        <f t="shared" si="31"/>
        <v>0</v>
      </c>
      <c r="AH78" s="37">
        <f t="shared" si="32"/>
        <v>0</v>
      </c>
      <c r="AI78" s="37">
        <f t="shared" si="33"/>
        <v>0</v>
      </c>
      <c r="AJ78" s="7"/>
    </row>
    <row r="79" spans="1:36" ht="24.45" customHeight="1">
      <c r="A79" s="21" t="s">
        <v>120</v>
      </c>
      <c r="B79" s="34"/>
      <c r="C79" s="4"/>
      <c r="D79" s="4"/>
      <c r="E79" s="4"/>
      <c r="F79" s="4"/>
      <c r="G79" s="30">
        <f t="shared" si="23"/>
        <v>0</v>
      </c>
      <c r="H79" s="4"/>
      <c r="I79" s="4"/>
      <c r="J79" s="4"/>
      <c r="K79" s="30">
        <f t="shared" si="24"/>
        <v>0</v>
      </c>
      <c r="L79" s="4"/>
      <c r="M79" s="4"/>
      <c r="N79" s="4"/>
      <c r="O79" s="30">
        <f t="shared" si="25"/>
        <v>0</v>
      </c>
      <c r="P79" s="4"/>
      <c r="Q79" s="4"/>
      <c r="R79" s="4"/>
      <c r="S79" s="30">
        <f t="shared" si="26"/>
        <v>0</v>
      </c>
      <c r="T79" s="4"/>
      <c r="U79" s="4"/>
      <c r="V79" s="4"/>
      <c r="W79" s="30">
        <f t="shared" si="27"/>
        <v>0</v>
      </c>
      <c r="X79" s="4"/>
      <c r="Y79" s="4"/>
      <c r="Z79" s="4"/>
      <c r="AA79" s="30">
        <f t="shared" si="28"/>
        <v>0</v>
      </c>
      <c r="AB79" s="4"/>
      <c r="AC79" s="4"/>
      <c r="AD79" s="4"/>
      <c r="AE79" s="30">
        <f t="shared" si="29"/>
        <v>0</v>
      </c>
      <c r="AF79" s="37">
        <f t="shared" si="30"/>
        <v>0</v>
      </c>
      <c r="AG79" s="31">
        <f t="shared" si="31"/>
        <v>0</v>
      </c>
      <c r="AH79" s="37">
        <f t="shared" si="32"/>
        <v>0</v>
      </c>
      <c r="AI79" s="37">
        <f t="shared" si="33"/>
        <v>0</v>
      </c>
      <c r="AJ79" s="4"/>
    </row>
    <row r="80" spans="1:36" s="94" customFormat="1" ht="20.55" customHeight="1">
      <c r="A80" s="21" t="s">
        <v>120</v>
      </c>
      <c r="B80" s="18"/>
      <c r="C80" s="7"/>
      <c r="D80" s="7"/>
      <c r="E80" s="7"/>
      <c r="F80" s="7"/>
      <c r="G80" s="30">
        <f t="shared" si="23"/>
        <v>0</v>
      </c>
      <c r="H80" s="7"/>
      <c r="I80" s="7"/>
      <c r="J80" s="7"/>
      <c r="K80" s="30">
        <f t="shared" si="24"/>
        <v>0</v>
      </c>
      <c r="L80" s="7"/>
      <c r="M80" s="7"/>
      <c r="N80" s="7"/>
      <c r="O80" s="30">
        <f t="shared" si="25"/>
        <v>0</v>
      </c>
      <c r="P80" s="7"/>
      <c r="Q80" s="7"/>
      <c r="R80" s="7"/>
      <c r="S80" s="30">
        <f t="shared" si="26"/>
        <v>0</v>
      </c>
      <c r="T80" s="7"/>
      <c r="U80" s="7"/>
      <c r="V80" s="7"/>
      <c r="W80" s="30">
        <f t="shared" si="27"/>
        <v>0</v>
      </c>
      <c r="X80" s="7"/>
      <c r="Y80" s="7"/>
      <c r="Z80" s="7"/>
      <c r="AA80" s="30">
        <f t="shared" si="28"/>
        <v>0</v>
      </c>
      <c r="AB80" s="7"/>
      <c r="AC80" s="7"/>
      <c r="AD80" s="7"/>
      <c r="AE80" s="30">
        <f t="shared" si="29"/>
        <v>0</v>
      </c>
      <c r="AF80" s="37">
        <f t="shared" si="30"/>
        <v>0</v>
      </c>
      <c r="AG80" s="31">
        <f t="shared" si="31"/>
        <v>0</v>
      </c>
      <c r="AH80" s="37">
        <f t="shared" si="32"/>
        <v>0</v>
      </c>
      <c r="AI80" s="37">
        <f t="shared" si="33"/>
        <v>0</v>
      </c>
      <c r="AJ80" s="7"/>
    </row>
    <row r="81" spans="1:36" ht="20.55" customHeight="1">
      <c r="A81" s="21" t="s">
        <v>120</v>
      </c>
      <c r="B81" s="34"/>
      <c r="C81" s="4"/>
      <c r="D81" s="4"/>
      <c r="E81" s="4"/>
      <c r="F81" s="4"/>
      <c r="G81" s="95"/>
      <c r="H81" s="4"/>
      <c r="I81" s="4"/>
      <c r="J81" s="4"/>
      <c r="K81" s="30"/>
      <c r="L81" s="4"/>
      <c r="M81" s="4"/>
      <c r="N81" s="4"/>
      <c r="O81" s="95"/>
      <c r="P81" s="4"/>
      <c r="Q81" s="4"/>
      <c r="R81" s="4"/>
      <c r="S81" s="95"/>
      <c r="T81" s="4"/>
      <c r="U81" s="4"/>
      <c r="V81" s="4"/>
      <c r="W81" s="95"/>
      <c r="X81" s="4"/>
      <c r="Y81" s="4"/>
      <c r="Z81" s="4"/>
      <c r="AA81" s="95"/>
      <c r="AB81" s="4"/>
      <c r="AC81" s="4"/>
      <c r="AD81" s="4"/>
      <c r="AE81" s="95"/>
      <c r="AF81" s="4"/>
      <c r="AG81" s="4"/>
      <c r="AH81" s="4"/>
      <c r="AI81" s="4"/>
      <c r="AJ81" s="4"/>
    </row>
    <row r="82" spans="1:36" s="94" customFormat="1" ht="22.2" customHeight="1">
      <c r="A82" s="22" t="s">
        <v>135</v>
      </c>
      <c r="B82" s="18"/>
      <c r="C82" s="7"/>
      <c r="D82" s="7"/>
      <c r="E82" s="7"/>
      <c r="F82" s="7"/>
      <c r="G82" s="95"/>
      <c r="H82" s="7"/>
      <c r="I82" s="7"/>
      <c r="J82" s="7"/>
      <c r="K82" s="95"/>
      <c r="L82" s="7"/>
      <c r="M82" s="7"/>
      <c r="N82" s="7"/>
      <c r="O82" s="95"/>
      <c r="P82" s="7"/>
      <c r="Q82" s="7"/>
      <c r="R82" s="7"/>
      <c r="S82" s="95"/>
      <c r="T82" s="7"/>
      <c r="U82" s="7"/>
      <c r="V82" s="7"/>
      <c r="W82" s="95"/>
      <c r="X82" s="7"/>
      <c r="Y82" s="7"/>
      <c r="Z82" s="7"/>
      <c r="AA82" s="95"/>
      <c r="AB82" s="7"/>
      <c r="AC82" s="7"/>
      <c r="AD82" s="7"/>
      <c r="AE82" s="95"/>
      <c r="AF82" s="7"/>
      <c r="AG82" s="7"/>
      <c r="AH82" s="7"/>
      <c r="AI82" s="7"/>
      <c r="AJ82" s="7"/>
    </row>
    <row r="83" spans="1:36" ht="20.55" customHeight="1">
      <c r="A83" s="22" t="s">
        <v>135</v>
      </c>
      <c r="B83" s="34"/>
      <c r="C83" s="4"/>
      <c r="D83" s="4"/>
      <c r="E83" s="4"/>
      <c r="F83" s="4"/>
      <c r="G83" s="95"/>
      <c r="H83" s="4"/>
      <c r="I83" s="4"/>
      <c r="J83" s="4"/>
      <c r="K83" s="95"/>
      <c r="L83" s="4"/>
      <c r="M83" s="4"/>
      <c r="N83" s="4"/>
      <c r="O83" s="95"/>
      <c r="P83" s="4"/>
      <c r="Q83" s="4"/>
      <c r="R83" s="4"/>
      <c r="S83" s="95"/>
      <c r="T83" s="4"/>
      <c r="U83" s="4"/>
      <c r="V83" s="4"/>
      <c r="W83" s="95"/>
      <c r="X83" s="4"/>
      <c r="Y83" s="4"/>
      <c r="Z83" s="4"/>
      <c r="AA83" s="95"/>
      <c r="AB83" s="4"/>
      <c r="AC83" s="4"/>
      <c r="AD83" s="4"/>
      <c r="AE83" s="95"/>
      <c r="AF83" s="4"/>
      <c r="AG83" s="4"/>
      <c r="AH83" s="4"/>
      <c r="AI83" s="4"/>
      <c r="AJ83" s="4"/>
    </row>
    <row r="84" spans="1:36" s="94" customFormat="1" ht="20.55" customHeight="1">
      <c r="A84" s="22" t="s">
        <v>135</v>
      </c>
      <c r="B84" s="18"/>
      <c r="C84" s="7"/>
      <c r="D84" s="7"/>
      <c r="E84" s="7"/>
      <c r="F84" s="7"/>
      <c r="G84" s="95"/>
      <c r="H84" s="7"/>
      <c r="I84" s="7"/>
      <c r="J84" s="7"/>
      <c r="K84" s="95"/>
      <c r="L84" s="7"/>
      <c r="M84" s="7"/>
      <c r="N84" s="7"/>
      <c r="O84" s="95"/>
      <c r="P84" s="7"/>
      <c r="Q84" s="7"/>
      <c r="R84" s="7"/>
      <c r="S84" s="95"/>
      <c r="T84" s="7"/>
      <c r="U84" s="7"/>
      <c r="V84" s="7"/>
      <c r="W84" s="95"/>
      <c r="X84" s="7"/>
      <c r="Y84" s="7"/>
      <c r="Z84" s="7"/>
      <c r="AA84" s="95"/>
      <c r="AB84" s="7"/>
      <c r="AC84" s="7"/>
      <c r="AD84" s="7"/>
      <c r="AE84" s="95"/>
      <c r="AF84" s="7"/>
      <c r="AG84" s="7"/>
      <c r="AH84" s="7"/>
      <c r="AI84" s="7"/>
      <c r="AJ84" s="7"/>
    </row>
    <row r="85" spans="1:36" ht="20.55" customHeight="1">
      <c r="A85" s="22" t="s">
        <v>135</v>
      </c>
      <c r="B85" s="34"/>
      <c r="C85" s="4"/>
      <c r="D85" s="4"/>
      <c r="E85" s="4"/>
      <c r="F85" s="4"/>
      <c r="G85" s="95"/>
      <c r="H85" s="4"/>
      <c r="I85" s="4"/>
      <c r="J85" s="4"/>
      <c r="K85" s="95"/>
      <c r="L85" s="4"/>
      <c r="M85" s="4"/>
      <c r="N85" s="4"/>
      <c r="O85" s="95"/>
      <c r="P85" s="4"/>
      <c r="Q85" s="4"/>
      <c r="R85" s="4"/>
      <c r="S85" s="95"/>
      <c r="T85" s="4"/>
      <c r="U85" s="4"/>
      <c r="V85" s="4"/>
      <c r="W85" s="95"/>
      <c r="X85" s="4"/>
      <c r="Y85" s="4"/>
      <c r="Z85" s="4"/>
      <c r="AA85" s="95"/>
      <c r="AB85" s="4"/>
      <c r="AC85" s="4"/>
      <c r="AD85" s="4"/>
      <c r="AE85" s="95"/>
      <c r="AF85" s="4"/>
      <c r="AG85" s="4"/>
      <c r="AH85" s="4"/>
      <c r="AI85" s="4"/>
      <c r="AJ85" s="4"/>
    </row>
    <row r="86" spans="1:36" s="94" customFormat="1" ht="20.55" customHeight="1">
      <c r="A86" s="22" t="s">
        <v>135</v>
      </c>
      <c r="B86" s="18"/>
      <c r="C86" s="7"/>
      <c r="D86" s="7"/>
      <c r="E86" s="7"/>
      <c r="F86" s="7"/>
      <c r="G86" s="95"/>
      <c r="H86" s="7"/>
      <c r="I86" s="7"/>
      <c r="J86" s="7"/>
      <c r="K86" s="95"/>
      <c r="L86" s="7"/>
      <c r="M86" s="7"/>
      <c r="N86" s="7"/>
      <c r="O86" s="95"/>
      <c r="P86" s="7"/>
      <c r="Q86" s="7"/>
      <c r="R86" s="7"/>
      <c r="S86" s="95"/>
      <c r="T86" s="7"/>
      <c r="U86" s="7"/>
      <c r="V86" s="7"/>
      <c r="W86" s="95"/>
      <c r="X86" s="7"/>
      <c r="Y86" s="7"/>
      <c r="Z86" s="7"/>
      <c r="AA86" s="95"/>
      <c r="AB86" s="7"/>
      <c r="AC86" s="7"/>
      <c r="AD86" s="7"/>
      <c r="AE86" s="95"/>
      <c r="AF86" s="7"/>
      <c r="AG86" s="7"/>
      <c r="AH86" s="7"/>
      <c r="AI86" s="7"/>
      <c r="AJ86" s="7"/>
    </row>
    <row r="87" spans="1:36" ht="20.55" customHeight="1">
      <c r="A87" s="23" t="s">
        <v>138</v>
      </c>
      <c r="B87" s="34"/>
      <c r="C87" s="4"/>
      <c r="D87" s="4"/>
      <c r="E87" s="4"/>
      <c r="F87" s="4"/>
      <c r="G87" s="95"/>
      <c r="H87" s="4"/>
      <c r="I87" s="4"/>
      <c r="J87" s="4"/>
      <c r="K87" s="95"/>
      <c r="L87" s="4"/>
      <c r="M87" s="4"/>
      <c r="N87" s="4"/>
      <c r="O87" s="95"/>
      <c r="P87" s="4"/>
      <c r="Q87" s="4"/>
      <c r="R87" s="4"/>
      <c r="S87" s="95"/>
      <c r="T87" s="4"/>
      <c r="U87" s="4"/>
      <c r="V87" s="4"/>
      <c r="W87" s="95"/>
      <c r="X87" s="4"/>
      <c r="Y87" s="4"/>
      <c r="Z87" s="4"/>
      <c r="AA87" s="95"/>
      <c r="AB87" s="4"/>
      <c r="AC87" s="4"/>
      <c r="AD87" s="4"/>
      <c r="AE87" s="95"/>
      <c r="AF87" s="4"/>
      <c r="AG87" s="4"/>
      <c r="AH87" s="4"/>
      <c r="AI87" s="4"/>
      <c r="AJ87" s="4"/>
    </row>
    <row r="88" spans="1:36" s="94" customFormat="1" ht="20.55" customHeight="1">
      <c r="A88" s="23" t="s">
        <v>138</v>
      </c>
      <c r="B88" s="18"/>
      <c r="C88" s="7"/>
      <c r="D88" s="7"/>
      <c r="E88" s="7"/>
      <c r="F88" s="7"/>
      <c r="G88" s="95"/>
      <c r="H88" s="7"/>
      <c r="I88" s="7"/>
      <c r="J88" s="7"/>
      <c r="K88" s="95"/>
      <c r="L88" s="7"/>
      <c r="M88" s="7"/>
      <c r="N88" s="7"/>
      <c r="O88" s="95"/>
      <c r="P88" s="7"/>
      <c r="Q88" s="7"/>
      <c r="R88" s="7"/>
      <c r="S88" s="95"/>
      <c r="T88" s="7"/>
      <c r="U88" s="7"/>
      <c r="V88" s="7"/>
      <c r="W88" s="95"/>
      <c r="X88" s="7"/>
      <c r="Y88" s="7"/>
      <c r="Z88" s="7"/>
      <c r="AA88" s="95"/>
      <c r="AB88" s="7"/>
      <c r="AC88" s="7"/>
      <c r="AD88" s="7"/>
      <c r="AE88" s="95"/>
      <c r="AF88" s="7"/>
      <c r="AG88" s="7"/>
      <c r="AH88" s="7"/>
      <c r="AI88" s="7"/>
      <c r="AJ88" s="7"/>
    </row>
    <row r="89" spans="1:36" ht="20.55" customHeight="1">
      <c r="A89" s="23" t="s">
        <v>138</v>
      </c>
      <c r="B89" s="34"/>
      <c r="C89" s="4"/>
      <c r="D89" s="4"/>
      <c r="E89" s="4"/>
      <c r="F89" s="4"/>
      <c r="G89" s="95"/>
      <c r="H89" s="4"/>
      <c r="I89" s="4"/>
      <c r="J89" s="4"/>
      <c r="K89" s="95"/>
      <c r="L89" s="4"/>
      <c r="M89" s="4"/>
      <c r="N89" s="4"/>
      <c r="O89" s="95"/>
      <c r="P89" s="4"/>
      <c r="Q89" s="4"/>
      <c r="R89" s="4"/>
      <c r="S89" s="95"/>
      <c r="T89" s="4"/>
      <c r="U89" s="4"/>
      <c r="V89" s="4"/>
      <c r="W89" s="95"/>
      <c r="X89" s="4"/>
      <c r="Y89" s="4"/>
      <c r="Z89" s="4"/>
      <c r="AA89" s="95"/>
      <c r="AB89" s="4"/>
      <c r="AC89" s="4"/>
      <c r="AD89" s="4"/>
      <c r="AE89" s="95"/>
      <c r="AF89" s="4"/>
      <c r="AG89" s="4"/>
      <c r="AH89" s="4"/>
      <c r="AI89" s="4"/>
      <c r="AJ89" s="4"/>
    </row>
    <row r="90" spans="1:36" s="94" customFormat="1" ht="20.55" customHeight="1">
      <c r="A90" s="23" t="s">
        <v>138</v>
      </c>
      <c r="B90" s="18"/>
      <c r="C90" s="7"/>
      <c r="D90" s="7"/>
      <c r="E90" s="7"/>
      <c r="F90" s="7"/>
      <c r="G90" s="95"/>
      <c r="H90" s="7"/>
      <c r="I90" s="7"/>
      <c r="J90" s="7"/>
      <c r="K90" s="95"/>
      <c r="L90" s="7"/>
      <c r="M90" s="7"/>
      <c r="N90" s="7"/>
      <c r="O90" s="95"/>
      <c r="P90" s="7"/>
      <c r="Q90" s="7"/>
      <c r="R90" s="7"/>
      <c r="S90" s="95"/>
      <c r="T90" s="7"/>
      <c r="U90" s="7"/>
      <c r="V90" s="7"/>
      <c r="W90" s="95"/>
      <c r="X90" s="7"/>
      <c r="Y90" s="7"/>
      <c r="Z90" s="7"/>
      <c r="AA90" s="95"/>
      <c r="AB90" s="7"/>
      <c r="AC90" s="7"/>
      <c r="AD90" s="7"/>
      <c r="AE90" s="95"/>
      <c r="AF90" s="7"/>
      <c r="AG90" s="7"/>
      <c r="AH90" s="7"/>
      <c r="AI90" s="7"/>
      <c r="AJ90" s="7"/>
    </row>
    <row r="91" spans="1:36" ht="20.55" customHeight="1">
      <c r="A91" s="23" t="s">
        <v>138</v>
      </c>
      <c r="B91" s="34"/>
      <c r="C91" s="4"/>
      <c r="D91" s="4"/>
      <c r="E91" s="4"/>
      <c r="F91" s="4"/>
      <c r="G91" s="95"/>
      <c r="H91" s="4"/>
      <c r="I91" s="4"/>
      <c r="J91" s="4"/>
      <c r="K91" s="95"/>
      <c r="L91" s="4"/>
      <c r="M91" s="4"/>
      <c r="N91" s="4"/>
      <c r="O91" s="95"/>
      <c r="P91" s="4"/>
      <c r="Q91" s="4"/>
      <c r="R91" s="4"/>
      <c r="S91" s="95"/>
      <c r="T91" s="4"/>
      <c r="U91" s="4"/>
      <c r="V91" s="4"/>
      <c r="W91" s="95"/>
      <c r="X91" s="4"/>
      <c r="Y91" s="4"/>
      <c r="Z91" s="4"/>
      <c r="AA91" s="95"/>
      <c r="AB91" s="4"/>
      <c r="AC91" s="4"/>
      <c r="AD91" s="4"/>
      <c r="AE91" s="95"/>
      <c r="AF91" s="4"/>
      <c r="AG91" s="4"/>
      <c r="AH91" s="4"/>
      <c r="AI91" s="4"/>
      <c r="AJ91" s="4"/>
    </row>
    <row r="92" spans="1:36" s="94" customFormat="1" ht="20.55" customHeight="1">
      <c r="A92" s="22" t="s">
        <v>251</v>
      </c>
      <c r="B92" s="34" t="s">
        <v>205</v>
      </c>
      <c r="C92" s="4" t="s">
        <v>252</v>
      </c>
      <c r="D92" s="4" t="s">
        <v>21</v>
      </c>
      <c r="E92" s="92">
        <v>0.31944444444444448</v>
      </c>
      <c r="F92" s="92">
        <v>0.34722222222222227</v>
      </c>
      <c r="G92" s="95" t="s">
        <v>253</v>
      </c>
      <c r="H92" s="4">
        <v>167</v>
      </c>
      <c r="I92" s="92">
        <v>0.35416666666666669</v>
      </c>
      <c r="J92" s="92">
        <v>0.38472222222222219</v>
      </c>
      <c r="K92" s="96">
        <v>3.4027777777777775E-2</v>
      </c>
      <c r="L92" s="4">
        <v>142</v>
      </c>
      <c r="M92" s="4"/>
      <c r="N92" s="4"/>
      <c r="O92" s="95"/>
      <c r="P92" s="4"/>
      <c r="Q92" s="4"/>
      <c r="R92" s="4"/>
      <c r="S92" s="95"/>
      <c r="T92" s="4"/>
      <c r="U92" s="4"/>
      <c r="V92" s="4"/>
      <c r="W92" s="95"/>
      <c r="X92" s="4"/>
      <c r="Y92" s="4"/>
      <c r="Z92" s="4"/>
      <c r="AA92" s="95"/>
      <c r="AB92" s="4"/>
      <c r="AC92" s="4"/>
      <c r="AD92" s="4"/>
      <c r="AE92" s="95"/>
      <c r="AF92" s="4"/>
      <c r="AG92" s="4"/>
      <c r="AH92" s="4"/>
      <c r="AI92" s="4"/>
      <c r="AJ92" s="7"/>
    </row>
    <row r="93" spans="1:36" ht="20.55" customHeight="1">
      <c r="A93" s="22" t="s">
        <v>251</v>
      </c>
      <c r="B93" s="34"/>
      <c r="C93" s="4"/>
      <c r="D93" s="4"/>
      <c r="E93" s="4"/>
      <c r="F93" s="4"/>
      <c r="G93" s="95"/>
      <c r="H93" s="4"/>
      <c r="I93" s="4"/>
      <c r="J93" s="4"/>
      <c r="K93" s="95"/>
      <c r="L93" s="4"/>
      <c r="M93" s="4"/>
      <c r="N93" s="4"/>
      <c r="O93" s="95"/>
      <c r="P93" s="4"/>
      <c r="Q93" s="4"/>
      <c r="R93" s="4"/>
      <c r="S93" s="95"/>
      <c r="T93" s="4"/>
      <c r="U93" s="4"/>
      <c r="V93" s="4"/>
      <c r="W93" s="95"/>
      <c r="X93" s="4"/>
      <c r="Y93" s="4"/>
      <c r="Z93" s="4"/>
      <c r="AA93" s="95"/>
      <c r="AB93" s="4"/>
      <c r="AC93" s="4"/>
      <c r="AD93" s="4"/>
      <c r="AE93" s="95"/>
      <c r="AF93" s="4"/>
      <c r="AG93" s="4"/>
      <c r="AH93" s="4"/>
      <c r="AI93" s="4"/>
      <c r="AJ93" s="4"/>
    </row>
    <row r="94" spans="1:36" s="94" customFormat="1" ht="20.55" customHeight="1">
      <c r="A94" s="22" t="s">
        <v>251</v>
      </c>
      <c r="B94" s="18"/>
      <c r="C94" s="7"/>
      <c r="D94" s="7"/>
      <c r="E94" s="7"/>
      <c r="F94" s="7"/>
      <c r="G94" s="95"/>
      <c r="H94" s="7"/>
      <c r="I94" s="7"/>
      <c r="J94" s="7"/>
      <c r="K94" s="95"/>
      <c r="L94" s="7"/>
      <c r="M94" s="7"/>
      <c r="N94" s="7"/>
      <c r="O94" s="95"/>
      <c r="P94" s="7"/>
      <c r="Q94" s="7"/>
      <c r="R94" s="7"/>
      <c r="S94" s="95"/>
      <c r="T94" s="7"/>
      <c r="U94" s="7"/>
      <c r="V94" s="7"/>
      <c r="W94" s="95"/>
      <c r="X94" s="7"/>
      <c r="Y94" s="7"/>
      <c r="Z94" s="7"/>
      <c r="AA94" s="95"/>
      <c r="AB94" s="7"/>
      <c r="AC94" s="7"/>
      <c r="AD94" s="7"/>
      <c r="AE94" s="95"/>
      <c r="AF94" s="7"/>
      <c r="AG94" s="7"/>
      <c r="AH94" s="7"/>
      <c r="AI94" s="7"/>
      <c r="AJ94" s="7"/>
    </row>
    <row r="95" spans="1:36" ht="20.55" customHeight="1">
      <c r="A95" s="22" t="s">
        <v>251</v>
      </c>
      <c r="B95" s="34"/>
      <c r="C95" s="4"/>
      <c r="D95" s="4"/>
      <c r="E95" s="4"/>
      <c r="F95" s="4"/>
      <c r="G95" s="95"/>
      <c r="H95" s="4"/>
      <c r="I95" s="4"/>
      <c r="J95" s="4"/>
      <c r="K95" s="95"/>
      <c r="L95" s="4"/>
      <c r="M95" s="4"/>
      <c r="N95" s="4"/>
      <c r="O95" s="95"/>
      <c r="P95" s="4"/>
      <c r="Q95" s="4"/>
      <c r="R95" s="4"/>
      <c r="S95" s="95"/>
      <c r="T95" s="4"/>
      <c r="U95" s="4"/>
      <c r="V95" s="4"/>
      <c r="W95" s="95"/>
      <c r="X95" s="4"/>
      <c r="Y95" s="4"/>
      <c r="Z95" s="4"/>
      <c r="AA95" s="95"/>
      <c r="AB95" s="4"/>
      <c r="AC95" s="4"/>
      <c r="AD95" s="4"/>
      <c r="AE95" s="95"/>
      <c r="AF95" s="4"/>
      <c r="AG95" s="4"/>
      <c r="AH95" s="4"/>
      <c r="AI95" s="4"/>
      <c r="AJ95" s="4"/>
    </row>
    <row r="96" spans="1:36" s="94" customFormat="1" ht="20.55" customHeight="1">
      <c r="A96" s="22" t="s">
        <v>251</v>
      </c>
      <c r="B96" s="18"/>
      <c r="C96" s="7"/>
      <c r="D96" s="7"/>
      <c r="E96" s="7"/>
      <c r="F96" s="7"/>
      <c r="G96" s="95"/>
      <c r="H96" s="7"/>
      <c r="I96" s="7"/>
      <c r="J96" s="7"/>
      <c r="K96" s="95"/>
      <c r="L96" s="7"/>
      <c r="M96" s="7"/>
      <c r="N96" s="7"/>
      <c r="O96" s="95"/>
      <c r="P96" s="7"/>
      <c r="Q96" s="7"/>
      <c r="R96" s="7"/>
      <c r="S96" s="95"/>
      <c r="T96" s="7"/>
      <c r="U96" s="7"/>
      <c r="V96" s="7"/>
      <c r="W96" s="95"/>
      <c r="X96" s="7"/>
      <c r="Y96" s="7"/>
      <c r="Z96" s="7"/>
      <c r="AA96" s="95"/>
      <c r="AB96" s="7"/>
      <c r="AC96" s="7"/>
      <c r="AD96" s="7"/>
      <c r="AE96" s="95"/>
      <c r="AF96" s="7"/>
      <c r="AG96" s="7"/>
      <c r="AH96" s="7"/>
      <c r="AI96" s="7"/>
      <c r="AJ96" s="7"/>
    </row>
    <row r="97" spans="1:36" ht="20.55" customHeight="1">
      <c r="A97" s="21" t="s">
        <v>254</v>
      </c>
      <c r="B97" s="34"/>
      <c r="C97" s="4"/>
      <c r="D97" s="4"/>
      <c r="E97" s="4"/>
      <c r="F97" s="4"/>
      <c r="G97" s="95"/>
      <c r="H97" s="4"/>
      <c r="I97" s="4"/>
      <c r="J97" s="4"/>
      <c r="K97" s="95"/>
      <c r="L97" s="4"/>
      <c r="M97" s="4"/>
      <c r="N97" s="4"/>
      <c r="O97" s="95"/>
      <c r="P97" s="4"/>
      <c r="Q97" s="4"/>
      <c r="R97" s="4"/>
      <c r="S97" s="95"/>
      <c r="T97" s="4"/>
      <c r="U97" s="4"/>
      <c r="V97" s="4"/>
      <c r="W97" s="95"/>
      <c r="X97" s="4"/>
      <c r="Y97" s="4"/>
      <c r="Z97" s="4"/>
      <c r="AA97" s="95"/>
      <c r="AB97" s="4"/>
      <c r="AC97" s="4"/>
      <c r="AD97" s="4"/>
      <c r="AE97" s="95"/>
      <c r="AF97" s="4"/>
      <c r="AG97" s="4"/>
      <c r="AH97" s="4"/>
      <c r="AI97" s="4"/>
      <c r="AJ97" s="4"/>
    </row>
    <row r="98" spans="1:36" s="94" customFormat="1" ht="20.55" customHeight="1">
      <c r="A98" s="21" t="s">
        <v>254</v>
      </c>
      <c r="B98" s="18"/>
      <c r="C98" s="7"/>
      <c r="D98" s="7"/>
      <c r="E98" s="7"/>
      <c r="F98" s="7"/>
      <c r="G98" s="95"/>
      <c r="H98" s="7"/>
      <c r="I98" s="7"/>
      <c r="J98" s="7"/>
      <c r="K98" s="95"/>
      <c r="L98" s="7"/>
      <c r="M98" s="7"/>
      <c r="N98" s="7"/>
      <c r="O98" s="95"/>
      <c r="P98" s="7"/>
      <c r="Q98" s="7"/>
      <c r="R98" s="7"/>
      <c r="S98" s="95"/>
      <c r="T98" s="7"/>
      <c r="U98" s="7"/>
      <c r="V98" s="7"/>
      <c r="W98" s="95"/>
      <c r="X98" s="7"/>
      <c r="Y98" s="7"/>
      <c r="Z98" s="7"/>
      <c r="AA98" s="95"/>
      <c r="AB98" s="7"/>
      <c r="AC98" s="7"/>
      <c r="AD98" s="7"/>
      <c r="AE98" s="95"/>
      <c r="AF98" s="7"/>
      <c r="AG98" s="7"/>
      <c r="AH98" s="7"/>
      <c r="AI98" s="7"/>
      <c r="AJ98" s="7"/>
    </row>
    <row r="99" spans="1:36" ht="20.55" customHeight="1">
      <c r="A99" s="21" t="s">
        <v>254</v>
      </c>
      <c r="B99" s="34"/>
      <c r="C99" s="4"/>
      <c r="D99" s="4"/>
      <c r="E99" s="4"/>
      <c r="F99" s="4"/>
      <c r="G99" s="95"/>
      <c r="H99" s="4"/>
      <c r="I99" s="4"/>
      <c r="J99" s="4"/>
      <c r="K99" s="95"/>
      <c r="L99" s="4"/>
      <c r="M99" s="4"/>
      <c r="N99" s="4"/>
      <c r="O99" s="95"/>
      <c r="P99" s="4"/>
      <c r="Q99" s="4"/>
      <c r="R99" s="4"/>
      <c r="S99" s="95"/>
      <c r="T99" s="4"/>
      <c r="U99" s="4"/>
      <c r="V99" s="4"/>
      <c r="W99" s="95"/>
      <c r="X99" s="4"/>
      <c r="Y99" s="4"/>
      <c r="Z99" s="4"/>
      <c r="AA99" s="95"/>
      <c r="AB99" s="4"/>
      <c r="AC99" s="4"/>
      <c r="AD99" s="4"/>
      <c r="AE99" s="95"/>
      <c r="AF99" s="4"/>
      <c r="AG99" s="4"/>
      <c r="AH99" s="4"/>
      <c r="AI99" s="4"/>
      <c r="AJ99" s="4"/>
    </row>
    <row r="100" spans="1:36" s="94" customFormat="1" ht="20.55" customHeight="1">
      <c r="A100" s="21" t="s">
        <v>254</v>
      </c>
      <c r="B100" s="18"/>
      <c r="C100" s="7"/>
      <c r="D100" s="7"/>
      <c r="E100" s="7"/>
      <c r="F100" s="7"/>
      <c r="G100" s="95"/>
      <c r="H100" s="7"/>
      <c r="I100" s="7"/>
      <c r="J100" s="7"/>
      <c r="K100" s="95"/>
      <c r="L100" s="7"/>
      <c r="M100" s="7"/>
      <c r="N100" s="7"/>
      <c r="O100" s="95"/>
      <c r="P100" s="7"/>
      <c r="Q100" s="7"/>
      <c r="R100" s="7"/>
      <c r="S100" s="95"/>
      <c r="T100" s="7"/>
      <c r="U100" s="7"/>
      <c r="V100" s="7"/>
      <c r="W100" s="95"/>
      <c r="X100" s="7"/>
      <c r="Y100" s="7"/>
      <c r="Z100" s="7"/>
      <c r="AA100" s="95"/>
      <c r="AB100" s="7"/>
      <c r="AC100" s="7"/>
      <c r="AD100" s="7"/>
      <c r="AE100" s="95"/>
      <c r="AF100" s="7"/>
      <c r="AG100" s="7"/>
      <c r="AH100" s="7"/>
      <c r="AI100" s="7"/>
      <c r="AJ100" s="7"/>
    </row>
    <row r="101" spans="1:36" ht="20.55" customHeight="1">
      <c r="A101" s="21" t="s">
        <v>254</v>
      </c>
      <c r="B101" s="34"/>
      <c r="C101" s="4"/>
      <c r="D101" s="4"/>
      <c r="E101" s="4"/>
      <c r="F101" s="4"/>
      <c r="G101" s="95"/>
      <c r="H101" s="4"/>
      <c r="I101" s="4"/>
      <c r="J101" s="4"/>
      <c r="K101" s="95"/>
      <c r="L101" s="4"/>
      <c r="M101" s="4"/>
      <c r="N101" s="4"/>
      <c r="O101" s="95"/>
      <c r="P101" s="4"/>
      <c r="Q101" s="4"/>
      <c r="R101" s="4"/>
      <c r="S101" s="95"/>
      <c r="T101" s="4"/>
      <c r="U101" s="4"/>
      <c r="V101" s="4"/>
      <c r="W101" s="95"/>
      <c r="X101" s="4"/>
      <c r="Y101" s="4"/>
      <c r="Z101" s="4"/>
      <c r="AA101" s="95"/>
      <c r="AB101" s="4"/>
      <c r="AC101" s="4"/>
      <c r="AD101" s="4"/>
      <c r="AE101" s="95"/>
      <c r="AF101" s="4"/>
      <c r="AG101" s="4"/>
      <c r="AH101" s="4"/>
      <c r="AI101" s="4"/>
      <c r="AJ101" s="4"/>
    </row>
    <row r="102" spans="1:36">
      <c r="A102" s="20" t="s">
        <v>255</v>
      </c>
      <c r="B102" s="34"/>
      <c r="C102" s="4"/>
      <c r="D102" s="4"/>
      <c r="E102" s="4"/>
      <c r="F102" s="4"/>
      <c r="G102" s="95"/>
      <c r="H102" s="4"/>
      <c r="I102" s="4"/>
      <c r="J102" s="4"/>
      <c r="K102" s="95"/>
      <c r="L102" s="4"/>
      <c r="M102" s="4"/>
      <c r="N102" s="4"/>
      <c r="O102" s="95"/>
      <c r="P102" s="4"/>
      <c r="Q102" s="4"/>
      <c r="R102" s="4"/>
      <c r="S102" s="95"/>
      <c r="T102" s="4"/>
      <c r="U102" s="4"/>
      <c r="V102" s="4"/>
      <c r="W102" s="95"/>
      <c r="X102" s="4"/>
      <c r="Y102" s="4"/>
      <c r="Z102" s="4"/>
      <c r="AA102" s="95"/>
      <c r="AB102" s="4"/>
      <c r="AC102" s="4"/>
      <c r="AD102" s="4"/>
      <c r="AE102" s="95"/>
      <c r="AF102" s="4"/>
      <c r="AG102" s="4"/>
      <c r="AH102" s="4"/>
      <c r="AI102" s="4"/>
      <c r="AJ102" s="4"/>
    </row>
    <row r="103" spans="1:36" s="9" customFormat="1" ht="19.2" customHeight="1">
      <c r="A103" s="20" t="s">
        <v>255</v>
      </c>
      <c r="B103" s="18" t="s">
        <v>233</v>
      </c>
      <c r="C103" s="5" t="s">
        <v>234</v>
      </c>
      <c r="D103" s="5" t="s">
        <v>21</v>
      </c>
      <c r="E103" s="5" t="s">
        <v>18</v>
      </c>
      <c r="F103" s="5" t="s">
        <v>235</v>
      </c>
      <c r="G103" s="25"/>
      <c r="H103" s="5" t="s">
        <v>236</v>
      </c>
      <c r="I103" s="5" t="s">
        <v>237</v>
      </c>
      <c r="J103" s="5" t="s">
        <v>29</v>
      </c>
      <c r="K103" s="25"/>
      <c r="L103" s="5" t="s">
        <v>238</v>
      </c>
      <c r="M103" s="5" t="s">
        <v>239</v>
      </c>
      <c r="N103" s="5" t="s">
        <v>46</v>
      </c>
      <c r="O103" s="25"/>
      <c r="P103" s="5" t="s">
        <v>236</v>
      </c>
      <c r="Q103" s="5" t="s">
        <v>240</v>
      </c>
      <c r="R103" s="5" t="s">
        <v>241</v>
      </c>
      <c r="S103" s="25"/>
      <c r="T103" s="5" t="s">
        <v>242</v>
      </c>
      <c r="U103" s="5" t="s">
        <v>56</v>
      </c>
      <c r="V103" s="5" t="s">
        <v>63</v>
      </c>
      <c r="W103" s="25"/>
      <c r="X103" s="5" t="s">
        <v>242</v>
      </c>
      <c r="Y103" s="5" t="s">
        <v>74</v>
      </c>
      <c r="Z103" s="5" t="s">
        <v>243</v>
      </c>
      <c r="AA103" s="25"/>
      <c r="AB103" s="5" t="s">
        <v>244</v>
      </c>
      <c r="AC103" s="5" t="s">
        <v>245</v>
      </c>
      <c r="AD103" s="5" t="s">
        <v>246</v>
      </c>
      <c r="AE103" s="25"/>
      <c r="AF103" s="5" t="s">
        <v>256</v>
      </c>
      <c r="AG103" s="5" t="s">
        <v>257</v>
      </c>
      <c r="AH103" s="5"/>
      <c r="AI103" s="5"/>
      <c r="AJ103" s="5"/>
    </row>
    <row r="104" spans="1:36">
      <c r="A104" s="20" t="s">
        <v>255</v>
      </c>
      <c r="B104" s="34"/>
      <c r="C104" s="4"/>
      <c r="D104" s="4"/>
      <c r="E104" s="4"/>
      <c r="F104" s="4"/>
      <c r="G104" s="95"/>
      <c r="H104" s="4"/>
      <c r="I104" s="4"/>
      <c r="J104" s="4"/>
      <c r="K104" s="95"/>
      <c r="L104" s="4"/>
      <c r="M104" s="4"/>
      <c r="N104" s="4"/>
      <c r="O104" s="95"/>
      <c r="P104" s="4"/>
      <c r="Q104" s="4"/>
      <c r="R104" s="4"/>
      <c r="S104" s="95"/>
      <c r="T104" s="4"/>
      <c r="U104" s="4"/>
      <c r="V104" s="4"/>
      <c r="W104" s="95"/>
      <c r="X104" s="4"/>
      <c r="Y104" s="4"/>
      <c r="Z104" s="4"/>
      <c r="AA104" s="95"/>
      <c r="AB104" s="4"/>
      <c r="AC104" s="4"/>
      <c r="AD104" s="4"/>
      <c r="AE104" s="95"/>
      <c r="AF104" s="4"/>
      <c r="AG104" s="4"/>
      <c r="AH104" s="4"/>
      <c r="AI104" s="4"/>
      <c r="AJ104" s="4"/>
    </row>
    <row r="105" spans="1:36" s="94" customFormat="1">
      <c r="A105" s="20" t="s">
        <v>255</v>
      </c>
      <c r="B105" s="18"/>
      <c r="C105" s="7"/>
      <c r="D105" s="7"/>
      <c r="E105" s="7"/>
      <c r="F105" s="7"/>
      <c r="G105" s="95"/>
      <c r="H105" s="7"/>
      <c r="I105" s="7"/>
      <c r="J105" s="7"/>
      <c r="K105" s="95"/>
      <c r="L105" s="7"/>
      <c r="M105" s="7"/>
      <c r="N105" s="7"/>
      <c r="O105" s="95"/>
      <c r="P105" s="7"/>
      <c r="Q105" s="7"/>
      <c r="R105" s="7"/>
      <c r="S105" s="95"/>
      <c r="T105" s="7"/>
      <c r="U105" s="7"/>
      <c r="V105" s="7"/>
      <c r="W105" s="95"/>
      <c r="X105" s="7"/>
      <c r="Y105" s="7"/>
      <c r="Z105" s="7"/>
      <c r="AA105" s="95"/>
      <c r="AB105" s="7"/>
      <c r="AC105" s="7"/>
      <c r="AD105" s="7"/>
      <c r="AE105" s="95"/>
      <c r="AF105" s="7"/>
      <c r="AG105" s="7"/>
      <c r="AH105" s="7"/>
      <c r="AI105" s="7"/>
      <c r="AJ105" s="7"/>
    </row>
    <row r="106" spans="1:36" ht="20.55" customHeight="1">
      <c r="A106" s="20" t="s">
        <v>255</v>
      </c>
      <c r="B106" s="34"/>
      <c r="C106" s="4"/>
      <c r="D106" s="4"/>
      <c r="E106" s="4"/>
      <c r="F106" s="4"/>
      <c r="G106" s="95"/>
      <c r="H106" s="4"/>
      <c r="I106" s="4"/>
      <c r="J106" s="4"/>
      <c r="K106" s="95"/>
      <c r="L106" s="4"/>
      <c r="M106" s="4"/>
      <c r="N106" s="4"/>
      <c r="O106" s="95"/>
      <c r="P106" s="4"/>
      <c r="Q106" s="4"/>
      <c r="R106" s="4"/>
      <c r="S106" s="95"/>
      <c r="T106" s="4"/>
      <c r="U106" s="4"/>
      <c r="V106" s="4"/>
      <c r="W106" s="95"/>
      <c r="X106" s="4"/>
      <c r="Y106" s="4"/>
      <c r="Z106" s="4"/>
      <c r="AA106" s="95"/>
      <c r="AB106" s="4"/>
      <c r="AC106" s="4"/>
      <c r="AD106" s="4"/>
      <c r="AE106" s="95"/>
      <c r="AF106" s="4"/>
      <c r="AG106" s="4"/>
      <c r="AH106" s="4"/>
      <c r="AI106" s="4"/>
      <c r="AJ106" s="4"/>
    </row>
    <row r="107" spans="1:36" s="94" customFormat="1" ht="24.45" customHeight="1">
      <c r="A107" s="21" t="s">
        <v>161</v>
      </c>
      <c r="B107" s="18"/>
      <c r="C107" s="7"/>
      <c r="D107" s="7"/>
      <c r="E107" s="7"/>
      <c r="F107" s="7"/>
      <c r="G107" s="95"/>
      <c r="H107" s="7"/>
      <c r="I107" s="7"/>
      <c r="J107" s="7"/>
      <c r="K107" s="95"/>
      <c r="L107" s="7"/>
      <c r="M107" s="7"/>
      <c r="N107" s="7"/>
      <c r="O107" s="95"/>
      <c r="P107" s="7"/>
      <c r="Q107" s="7"/>
      <c r="R107" s="7"/>
      <c r="S107" s="95"/>
      <c r="T107" s="7"/>
      <c r="U107" s="7"/>
      <c r="V107" s="7"/>
      <c r="W107" s="95"/>
      <c r="X107" s="7"/>
      <c r="Y107" s="7"/>
      <c r="Z107" s="7"/>
      <c r="AA107" s="95"/>
      <c r="AB107" s="7"/>
      <c r="AC107" s="7"/>
      <c r="AD107" s="7"/>
      <c r="AE107" s="95"/>
      <c r="AF107" s="7"/>
      <c r="AG107" s="7"/>
      <c r="AH107" s="7"/>
      <c r="AI107" s="7"/>
      <c r="AJ107" s="7"/>
    </row>
    <row r="108" spans="1:36" ht="24.45" customHeight="1">
      <c r="A108" s="21" t="s">
        <v>161</v>
      </c>
      <c r="B108" s="34"/>
      <c r="C108" s="4"/>
      <c r="D108" s="4"/>
      <c r="E108" s="4"/>
      <c r="F108" s="4"/>
      <c r="G108" s="95"/>
      <c r="H108" s="4"/>
      <c r="I108" s="4"/>
      <c r="J108" s="4"/>
      <c r="K108" s="95"/>
      <c r="L108" s="4"/>
      <c r="M108" s="4"/>
      <c r="N108" s="4"/>
      <c r="O108" s="95"/>
      <c r="P108" s="4"/>
      <c r="Q108" s="4"/>
      <c r="R108" s="4"/>
      <c r="S108" s="95"/>
      <c r="T108" s="4"/>
      <c r="U108" s="4"/>
      <c r="V108" s="4"/>
      <c r="W108" s="95"/>
      <c r="X108" s="4"/>
      <c r="Y108" s="4"/>
      <c r="Z108" s="4"/>
      <c r="AA108" s="95"/>
      <c r="AB108" s="4"/>
      <c r="AC108" s="4"/>
      <c r="AD108" s="4"/>
      <c r="AE108" s="95"/>
      <c r="AF108" s="4"/>
      <c r="AG108" s="4"/>
      <c r="AH108" s="4"/>
      <c r="AI108" s="4"/>
      <c r="AJ108" s="4"/>
    </row>
    <row r="109" spans="1:36" s="94" customFormat="1" ht="20.55" customHeight="1">
      <c r="A109" s="21" t="s">
        <v>161</v>
      </c>
      <c r="B109" s="18"/>
      <c r="C109" s="7"/>
      <c r="D109" s="7"/>
      <c r="E109" s="7"/>
      <c r="F109" s="7"/>
      <c r="G109" s="95"/>
      <c r="H109" s="7"/>
      <c r="I109" s="7"/>
      <c r="J109" s="7"/>
      <c r="K109" s="95"/>
      <c r="L109" s="7"/>
      <c r="M109" s="7"/>
      <c r="N109" s="7"/>
      <c r="O109" s="95"/>
      <c r="P109" s="7"/>
      <c r="Q109" s="7"/>
      <c r="R109" s="7"/>
      <c r="S109" s="95"/>
      <c r="T109" s="7"/>
      <c r="U109" s="7"/>
      <c r="V109" s="7"/>
      <c r="W109" s="95"/>
      <c r="X109" s="7"/>
      <c r="Y109" s="7"/>
      <c r="Z109" s="7"/>
      <c r="AA109" s="95"/>
      <c r="AB109" s="7"/>
      <c r="AC109" s="7"/>
      <c r="AD109" s="7"/>
      <c r="AE109" s="95"/>
      <c r="AF109" s="7"/>
      <c r="AG109" s="7"/>
      <c r="AH109" s="7"/>
      <c r="AI109" s="7"/>
      <c r="AJ109" s="7"/>
    </row>
    <row r="110" spans="1:36" ht="20.55" customHeight="1">
      <c r="A110" s="21" t="s">
        <v>161</v>
      </c>
      <c r="B110" s="34"/>
      <c r="C110" s="4"/>
      <c r="D110" s="4"/>
      <c r="E110" s="4"/>
      <c r="F110" s="4"/>
      <c r="G110" s="95"/>
      <c r="H110" s="4"/>
      <c r="I110" s="4"/>
      <c r="J110" s="4"/>
      <c r="K110" s="95"/>
      <c r="L110" s="4"/>
      <c r="M110" s="4"/>
      <c r="N110" s="4"/>
      <c r="O110" s="95"/>
      <c r="P110" s="4"/>
      <c r="Q110" s="4"/>
      <c r="R110" s="4"/>
      <c r="S110" s="95"/>
      <c r="T110" s="4"/>
      <c r="U110" s="4"/>
      <c r="V110" s="4"/>
      <c r="W110" s="95"/>
      <c r="X110" s="4"/>
      <c r="Y110" s="4"/>
      <c r="Z110" s="4"/>
      <c r="AA110" s="95"/>
      <c r="AB110" s="4"/>
      <c r="AC110" s="4"/>
      <c r="AD110" s="4"/>
      <c r="AE110" s="95"/>
      <c r="AF110" s="4"/>
      <c r="AG110" s="4"/>
      <c r="AH110" s="4"/>
      <c r="AI110" s="4"/>
      <c r="AJ110" s="4"/>
    </row>
    <row r="111" spans="1:36" s="94" customFormat="1" ht="20.55" customHeight="1">
      <c r="A111" s="21" t="s">
        <v>161</v>
      </c>
      <c r="B111" s="18"/>
      <c r="C111" s="7"/>
      <c r="D111" s="7"/>
      <c r="E111" s="7"/>
      <c r="F111" s="7"/>
      <c r="G111" s="95"/>
      <c r="H111" s="7"/>
      <c r="I111" s="7"/>
      <c r="J111" s="7"/>
      <c r="K111" s="95"/>
      <c r="L111" s="7"/>
      <c r="M111" s="7"/>
      <c r="N111" s="7"/>
      <c r="O111" s="95"/>
      <c r="P111" s="7"/>
      <c r="Q111" s="7"/>
      <c r="R111" s="7"/>
      <c r="S111" s="95"/>
      <c r="T111" s="7"/>
      <c r="U111" s="7"/>
      <c r="V111" s="7"/>
      <c r="W111" s="95"/>
      <c r="X111" s="7"/>
      <c r="Y111" s="7"/>
      <c r="Z111" s="7"/>
      <c r="AA111" s="95"/>
      <c r="AB111" s="7"/>
      <c r="AC111" s="7"/>
      <c r="AD111" s="7"/>
      <c r="AE111" s="95"/>
      <c r="AF111" s="7"/>
      <c r="AG111" s="7"/>
      <c r="AH111" s="7"/>
      <c r="AI111" s="7"/>
      <c r="AJ111" s="7"/>
    </row>
    <row r="112" spans="1:36" ht="20.55" customHeight="1">
      <c r="A112" s="22" t="s">
        <v>258</v>
      </c>
      <c r="B112" s="34"/>
      <c r="C112" s="4"/>
      <c r="D112" s="4"/>
      <c r="E112" s="4"/>
      <c r="F112" s="4"/>
      <c r="G112" s="95"/>
      <c r="H112" s="4"/>
      <c r="I112" s="4"/>
      <c r="J112" s="4"/>
      <c r="K112" s="95"/>
      <c r="L112" s="4"/>
      <c r="M112" s="4"/>
      <c r="N112" s="4"/>
      <c r="O112" s="95"/>
      <c r="P112" s="4"/>
      <c r="Q112" s="4"/>
      <c r="R112" s="4"/>
      <c r="S112" s="95"/>
      <c r="T112" s="4"/>
      <c r="U112" s="4"/>
      <c r="V112" s="4"/>
      <c r="W112" s="95"/>
      <c r="X112" s="4"/>
      <c r="Y112" s="4"/>
      <c r="Z112" s="4"/>
      <c r="AA112" s="95"/>
      <c r="AB112" s="4"/>
      <c r="AC112" s="4"/>
      <c r="AD112" s="4"/>
      <c r="AE112" s="95"/>
      <c r="AF112" s="4"/>
      <c r="AG112" s="4"/>
      <c r="AH112" s="4"/>
      <c r="AI112" s="4"/>
      <c r="AJ112" s="4"/>
    </row>
    <row r="113" spans="1:36" s="94" customFormat="1" ht="22.2" customHeight="1">
      <c r="A113" s="22" t="s">
        <v>258</v>
      </c>
      <c r="B113" s="18"/>
      <c r="C113" s="7"/>
      <c r="D113" s="7"/>
      <c r="E113" s="7"/>
      <c r="F113" s="7"/>
      <c r="G113" s="95"/>
      <c r="H113" s="7"/>
      <c r="I113" s="7"/>
      <c r="J113" s="7"/>
      <c r="K113" s="95"/>
      <c r="L113" s="7"/>
      <c r="M113" s="7"/>
      <c r="N113" s="7"/>
      <c r="O113" s="95"/>
      <c r="P113" s="7"/>
      <c r="Q113" s="7"/>
      <c r="R113" s="7"/>
      <c r="S113" s="95"/>
      <c r="T113" s="7"/>
      <c r="U113" s="7"/>
      <c r="V113" s="7"/>
      <c r="W113" s="95"/>
      <c r="X113" s="7"/>
      <c r="Y113" s="7"/>
      <c r="Z113" s="7"/>
      <c r="AA113" s="95"/>
      <c r="AB113" s="7"/>
      <c r="AC113" s="7"/>
      <c r="AD113" s="7"/>
      <c r="AE113" s="95"/>
      <c r="AF113" s="7"/>
      <c r="AG113" s="7"/>
      <c r="AH113" s="7"/>
      <c r="AI113" s="7"/>
      <c r="AJ113" s="7"/>
    </row>
    <row r="114" spans="1:36" ht="20.55" customHeight="1">
      <c r="A114" s="22" t="s">
        <v>258</v>
      </c>
      <c r="B114" s="34"/>
      <c r="C114" s="4"/>
      <c r="D114" s="4"/>
      <c r="E114" s="4"/>
      <c r="F114" s="4"/>
      <c r="G114" s="95"/>
      <c r="H114" s="4"/>
      <c r="I114" s="4"/>
      <c r="J114" s="4"/>
      <c r="K114" s="95"/>
      <c r="L114" s="4"/>
      <c r="M114" s="4"/>
      <c r="N114" s="4"/>
      <c r="O114" s="95"/>
      <c r="P114" s="4"/>
      <c r="Q114" s="4"/>
      <c r="R114" s="4"/>
      <c r="S114" s="95"/>
      <c r="T114" s="4"/>
      <c r="U114" s="4"/>
      <c r="V114" s="4"/>
      <c r="W114" s="95"/>
      <c r="X114" s="4"/>
      <c r="Y114" s="4"/>
      <c r="Z114" s="4"/>
      <c r="AA114" s="95"/>
      <c r="AB114" s="4"/>
      <c r="AC114" s="4"/>
      <c r="AD114" s="4"/>
      <c r="AE114" s="95"/>
      <c r="AF114" s="4"/>
      <c r="AG114" s="4"/>
      <c r="AH114" s="4"/>
      <c r="AI114" s="4"/>
      <c r="AJ114" s="4"/>
    </row>
    <row r="115" spans="1:36" s="94" customFormat="1" ht="20.55" customHeight="1">
      <c r="A115" s="22" t="s">
        <v>258</v>
      </c>
      <c r="B115" s="18"/>
      <c r="C115" s="7"/>
      <c r="D115" s="7"/>
      <c r="E115" s="7"/>
      <c r="F115" s="7"/>
      <c r="G115" s="95"/>
      <c r="H115" s="7"/>
      <c r="I115" s="7"/>
      <c r="J115" s="7"/>
      <c r="K115" s="95"/>
      <c r="L115" s="7"/>
      <c r="M115" s="7"/>
      <c r="N115" s="7"/>
      <c r="O115" s="95"/>
      <c r="P115" s="7"/>
      <c r="Q115" s="7"/>
      <c r="R115" s="7"/>
      <c r="S115" s="95"/>
      <c r="T115" s="7"/>
      <c r="U115" s="7"/>
      <c r="V115" s="7"/>
      <c r="W115" s="95"/>
      <c r="X115" s="7"/>
      <c r="Y115" s="7"/>
      <c r="Z115" s="7"/>
      <c r="AA115" s="95"/>
      <c r="AB115" s="7"/>
      <c r="AC115" s="7"/>
      <c r="AD115" s="7"/>
      <c r="AE115" s="95"/>
      <c r="AF115" s="7"/>
      <c r="AG115" s="7"/>
      <c r="AH115" s="7"/>
      <c r="AI115" s="7"/>
      <c r="AJ115" s="7"/>
    </row>
    <row r="116" spans="1:36" ht="20.55" customHeight="1">
      <c r="A116" s="22" t="s">
        <v>258</v>
      </c>
      <c r="B116" s="34"/>
      <c r="C116" s="4"/>
      <c r="D116" s="4"/>
      <c r="E116" s="4"/>
      <c r="F116" s="4"/>
      <c r="G116" s="95"/>
      <c r="H116" s="4"/>
      <c r="I116" s="4"/>
      <c r="J116" s="4"/>
      <c r="K116" s="95"/>
      <c r="L116" s="4"/>
      <c r="M116" s="4"/>
      <c r="N116" s="4"/>
      <c r="O116" s="95"/>
      <c r="P116" s="4"/>
      <c r="Q116" s="4"/>
      <c r="R116" s="4"/>
      <c r="S116" s="95"/>
      <c r="T116" s="4"/>
      <c r="U116" s="4"/>
      <c r="V116" s="4"/>
      <c r="W116" s="95"/>
      <c r="X116" s="4"/>
      <c r="Y116" s="4"/>
      <c r="Z116" s="4"/>
      <c r="AA116" s="95"/>
      <c r="AB116" s="4"/>
      <c r="AC116" s="4"/>
      <c r="AD116" s="4"/>
      <c r="AE116" s="95"/>
      <c r="AF116" s="4"/>
      <c r="AG116" s="4"/>
      <c r="AH116" s="4"/>
      <c r="AI116" s="4"/>
      <c r="AJ116" s="4"/>
    </row>
    <row r="117" spans="1:36" s="94" customFormat="1" ht="20.55" customHeight="1">
      <c r="A117" s="23" t="s">
        <v>141</v>
      </c>
      <c r="B117" s="18"/>
      <c r="C117" s="7"/>
      <c r="D117" s="7"/>
      <c r="E117" s="7"/>
      <c r="F117" s="7"/>
      <c r="G117" s="95"/>
      <c r="H117" s="7"/>
      <c r="I117" s="7"/>
      <c r="J117" s="7"/>
      <c r="K117" s="95"/>
      <c r="L117" s="7"/>
      <c r="M117" s="7"/>
      <c r="N117" s="7"/>
      <c r="O117" s="95"/>
      <c r="P117" s="7"/>
      <c r="Q117" s="7"/>
      <c r="R117" s="7"/>
      <c r="S117" s="95"/>
      <c r="T117" s="7"/>
      <c r="U117" s="7"/>
      <c r="V117" s="7"/>
      <c r="W117" s="95"/>
      <c r="X117" s="7"/>
      <c r="Y117" s="7"/>
      <c r="Z117" s="7"/>
      <c r="AA117" s="95"/>
      <c r="AB117" s="7"/>
      <c r="AC117" s="7"/>
      <c r="AD117" s="7"/>
      <c r="AE117" s="95"/>
      <c r="AF117" s="7"/>
      <c r="AG117" s="7"/>
      <c r="AH117" s="7"/>
      <c r="AI117" s="7"/>
      <c r="AJ117" s="7"/>
    </row>
    <row r="118" spans="1:36" ht="20.55" customHeight="1">
      <c r="A118" s="23" t="s">
        <v>141</v>
      </c>
      <c r="B118" s="34"/>
      <c r="C118" s="4"/>
      <c r="D118" s="4"/>
      <c r="E118" s="4"/>
      <c r="F118" s="4"/>
      <c r="G118" s="95"/>
      <c r="H118" s="4"/>
      <c r="I118" s="4"/>
      <c r="J118" s="4"/>
      <c r="K118" s="95"/>
      <c r="L118" s="4"/>
      <c r="M118" s="4"/>
      <c r="N118" s="4"/>
      <c r="O118" s="95"/>
      <c r="P118" s="4"/>
      <c r="Q118" s="4"/>
      <c r="R118" s="4"/>
      <c r="S118" s="95"/>
      <c r="T118" s="4"/>
      <c r="U118" s="4"/>
      <c r="V118" s="4"/>
      <c r="W118" s="95"/>
      <c r="X118" s="4"/>
      <c r="Y118" s="4"/>
      <c r="Z118" s="4"/>
      <c r="AA118" s="95"/>
      <c r="AB118" s="4"/>
      <c r="AC118" s="4"/>
      <c r="AD118" s="4"/>
      <c r="AE118" s="95"/>
      <c r="AF118" s="4"/>
      <c r="AG118" s="4"/>
      <c r="AH118" s="4"/>
      <c r="AI118" s="4"/>
      <c r="AJ118" s="4"/>
    </row>
    <row r="119" spans="1:36" s="94" customFormat="1" ht="20.55" customHeight="1">
      <c r="A119" s="23" t="s">
        <v>141</v>
      </c>
      <c r="B119" s="18"/>
      <c r="C119" s="7"/>
      <c r="D119" s="7"/>
      <c r="E119" s="7"/>
      <c r="F119" s="7"/>
      <c r="G119" s="95"/>
      <c r="H119" s="7"/>
      <c r="I119" s="7"/>
      <c r="J119" s="7"/>
      <c r="K119" s="95"/>
      <c r="L119" s="7"/>
      <c r="M119" s="7"/>
      <c r="N119" s="7"/>
      <c r="O119" s="95"/>
      <c r="P119" s="7"/>
      <c r="Q119" s="7"/>
      <c r="R119" s="7"/>
      <c r="S119" s="95"/>
      <c r="T119" s="7"/>
      <c r="U119" s="7"/>
      <c r="V119" s="7"/>
      <c r="W119" s="95"/>
      <c r="X119" s="7"/>
      <c r="Y119" s="7"/>
      <c r="Z119" s="7"/>
      <c r="AA119" s="95"/>
      <c r="AB119" s="7"/>
      <c r="AC119" s="7"/>
      <c r="AD119" s="7"/>
      <c r="AE119" s="95"/>
      <c r="AF119" s="7"/>
      <c r="AG119" s="7"/>
      <c r="AH119" s="7"/>
      <c r="AI119" s="7"/>
      <c r="AJ119" s="7"/>
    </row>
    <row r="120" spans="1:36" ht="20.55" customHeight="1">
      <c r="A120" s="23" t="s">
        <v>141</v>
      </c>
      <c r="B120" s="34"/>
      <c r="C120" s="4"/>
      <c r="D120" s="4"/>
      <c r="E120" s="4"/>
      <c r="F120" s="4"/>
      <c r="G120" s="95"/>
      <c r="H120" s="4"/>
      <c r="I120" s="4"/>
      <c r="J120" s="4"/>
      <c r="K120" s="95"/>
      <c r="L120" s="4"/>
      <c r="M120" s="4"/>
      <c r="N120" s="4"/>
      <c r="O120" s="95"/>
      <c r="P120" s="4"/>
      <c r="Q120" s="4"/>
      <c r="R120" s="4"/>
      <c r="S120" s="95"/>
      <c r="T120" s="4"/>
      <c r="U120" s="4"/>
      <c r="V120" s="4"/>
      <c r="W120" s="95"/>
      <c r="X120" s="4"/>
      <c r="Y120" s="4"/>
      <c r="Z120" s="4"/>
      <c r="AA120" s="95"/>
      <c r="AB120" s="4"/>
      <c r="AC120" s="4"/>
      <c r="AD120" s="4"/>
      <c r="AE120" s="95"/>
      <c r="AF120" s="4"/>
      <c r="AG120" s="4"/>
      <c r="AH120" s="4"/>
      <c r="AI120" s="4"/>
      <c r="AJ120" s="4"/>
    </row>
    <row r="121" spans="1:36" s="94" customFormat="1" ht="20.55" customHeight="1">
      <c r="A121" s="23" t="s">
        <v>141</v>
      </c>
      <c r="B121" s="18"/>
      <c r="C121" s="7"/>
      <c r="D121" s="7"/>
      <c r="E121" s="7"/>
      <c r="F121" s="7"/>
      <c r="G121" s="95"/>
      <c r="H121" s="7"/>
      <c r="I121" s="7"/>
      <c r="J121" s="7"/>
      <c r="K121" s="95"/>
      <c r="L121" s="7"/>
      <c r="M121" s="7"/>
      <c r="N121" s="7"/>
      <c r="O121" s="95"/>
      <c r="P121" s="7"/>
      <c r="Q121" s="7"/>
      <c r="R121" s="7"/>
      <c r="S121" s="95"/>
      <c r="T121" s="7"/>
      <c r="U121" s="7"/>
      <c r="V121" s="7"/>
      <c r="W121" s="95"/>
      <c r="X121" s="7"/>
      <c r="Y121" s="7"/>
      <c r="Z121" s="7"/>
      <c r="AA121" s="95"/>
      <c r="AB121" s="7"/>
      <c r="AC121" s="7"/>
      <c r="AD121" s="7"/>
      <c r="AE121" s="95"/>
      <c r="AF121" s="7"/>
      <c r="AG121" s="7"/>
      <c r="AH121" s="7"/>
      <c r="AI121" s="7"/>
      <c r="AJ121" s="7"/>
    </row>
  </sheetData>
  <autoFilter ref="A1:AJ121" xr:uid="{83CF93B3-C431-49F1-A590-E27AEBEF8623}"/>
  <sortState xmlns:xlrd2="http://schemas.microsoft.com/office/spreadsheetml/2017/richdata2" ref="A2:AK121">
    <sortCondition descending="1" ref="AK2:AK121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D533-D18D-45B2-ABE9-D697338CF70F}">
  <dimension ref="A1:BH194"/>
  <sheetViews>
    <sheetView view="pageBreakPreview" zoomScale="90" zoomScaleNormal="100" zoomScaleSheetLayoutView="90" workbookViewId="0">
      <pane ySplit="1" topLeftCell="A2" activePane="bottomLeft" state="frozen"/>
      <selection activeCell="AD1" sqref="AD1"/>
      <selection pane="bottomLeft" activeCell="A14" sqref="A14:XFD14"/>
    </sheetView>
  </sheetViews>
  <sheetFormatPr defaultColWidth="8.77734375" defaultRowHeight="14.4"/>
  <cols>
    <col min="1" max="1" width="30.6640625" customWidth="1"/>
    <col min="2" max="2" width="17.44140625" style="2" bestFit="1" customWidth="1"/>
    <col min="3" max="3" width="9.77734375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1.4414062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1.44140625" bestFit="1" customWidth="1"/>
    <col min="19" max="19" width="14" bestFit="1" customWidth="1"/>
    <col min="20" max="20" width="11.44140625" style="26" customWidth="1"/>
    <col min="21" max="22" width="12.6640625" customWidth="1"/>
    <col min="23" max="23" width="11.4414062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1.4414062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4" customFormat="1">
      <c r="A2" s="231" t="s">
        <v>269</v>
      </c>
      <c r="B2" s="221" t="s">
        <v>270</v>
      </c>
      <c r="C2" s="235">
        <v>0.3923611111111111</v>
      </c>
      <c r="D2" s="235">
        <v>0.39513888888888887</v>
      </c>
      <c r="E2" s="211">
        <f t="shared" ref="E2:E14" si="0">SUM(D2-C2)</f>
        <v>2.7777777777777679E-3</v>
      </c>
      <c r="F2" s="220">
        <v>102.2</v>
      </c>
      <c r="G2" s="223">
        <f>SUM(F2*0.6)</f>
        <v>61.32</v>
      </c>
      <c r="H2" s="235">
        <v>0.40069444444444446</v>
      </c>
      <c r="I2" s="235">
        <v>0.40416666666666662</v>
      </c>
      <c r="J2" s="211">
        <f t="shared" ref="J2:J14" si="1">SUM(I2-H2)</f>
        <v>3.4722222222221544E-3</v>
      </c>
      <c r="K2" s="220">
        <v>67.209999999999994</v>
      </c>
      <c r="L2" s="223">
        <f t="shared" ref="L2:L10" si="2">SUM(K2*0.6)</f>
        <v>40.325999999999993</v>
      </c>
      <c r="M2" s="235">
        <v>0.40902777777777777</v>
      </c>
      <c r="N2" s="235">
        <v>0.41250000000000003</v>
      </c>
      <c r="O2" s="211">
        <f t="shared" ref="O2:O14" si="3">SUM(N2-M2)</f>
        <v>3.4722222222222654E-3</v>
      </c>
      <c r="P2" s="208">
        <v>93.52</v>
      </c>
      <c r="Q2" s="223">
        <f t="shared" ref="Q2:Q10" si="4">SUM(P2*0.6)</f>
        <v>56.111999999999995</v>
      </c>
      <c r="R2" s="235">
        <v>0.42291666666666666</v>
      </c>
      <c r="S2" s="235">
        <v>0.42569444444444443</v>
      </c>
      <c r="T2" s="211">
        <f t="shared" ref="T2:T14" si="5">SUM(S2-R2)</f>
        <v>2.7777777777777679E-3</v>
      </c>
      <c r="U2" s="208">
        <v>36.869999999999997</v>
      </c>
      <c r="V2" s="223">
        <f t="shared" ref="V2:V10" si="6">SUM(U2*0.6)</f>
        <v>22.121999999999996</v>
      </c>
      <c r="W2" s="235">
        <v>0.43402777777777773</v>
      </c>
      <c r="X2" s="235">
        <v>0.43611111111111112</v>
      </c>
      <c r="Y2" s="211">
        <f t="shared" ref="Y2:Y14" si="7">SUM(X2-W2)</f>
        <v>2.0833333333333814E-3</v>
      </c>
      <c r="Z2" s="224">
        <v>-5</v>
      </c>
      <c r="AA2" s="223">
        <v>-5</v>
      </c>
      <c r="AB2" s="235">
        <v>0.44027777777777777</v>
      </c>
      <c r="AC2" s="235">
        <v>0.44097222222222227</v>
      </c>
      <c r="AD2" s="211">
        <f t="shared" ref="AD2:AD14" si="8">SUM(AC2-AB2)</f>
        <v>6.9444444444449749E-4</v>
      </c>
      <c r="AE2" s="224">
        <v>199</v>
      </c>
      <c r="AF2" s="223">
        <v>199</v>
      </c>
      <c r="AG2" s="235">
        <v>0.4465277777777778</v>
      </c>
      <c r="AH2" s="235">
        <v>0.4465277777777778</v>
      </c>
      <c r="AI2" s="211">
        <f t="shared" ref="AI2:AI14" si="9">SUM(AH2-AG2)</f>
        <v>0</v>
      </c>
      <c r="AJ2" s="226">
        <f t="shared" ref="AJ2:AJ14" si="10">SUM(E2+J2+O2+T2+Y2+AD2+AI2)</f>
        <v>1.5277777777777835E-2</v>
      </c>
      <c r="AK2" s="227">
        <f t="shared" ref="AK2:AK14" si="11">SUM(G2+L2+Q2+V2+AA2+AF2)</f>
        <v>373.88</v>
      </c>
      <c r="AL2" s="228">
        <f t="shared" ref="AL2:AL14" si="12">AK2/85400</f>
        <v>4.3779859484777521E-3</v>
      </c>
      <c r="AM2" s="228">
        <f t="shared" ref="AM2:AM14" si="13">SUM(AJ2+AL2)</f>
        <v>1.9655763726255587E-2</v>
      </c>
      <c r="AN2" s="225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</row>
    <row r="3" spans="1:60" s="229" customFormat="1">
      <c r="A3" s="231" t="s">
        <v>271</v>
      </c>
      <c r="B3" s="221" t="s">
        <v>270</v>
      </c>
      <c r="C3" s="235">
        <v>0.42083333333333334</v>
      </c>
      <c r="D3" s="235">
        <v>0.4236111111111111</v>
      </c>
      <c r="E3" s="211">
        <f t="shared" si="0"/>
        <v>2.7777777777777679E-3</v>
      </c>
      <c r="F3" s="220">
        <v>187.5</v>
      </c>
      <c r="G3" s="223">
        <f>SUM(F3*0.6)</f>
        <v>112.5</v>
      </c>
      <c r="H3" s="235">
        <v>0.4284722222222222</v>
      </c>
      <c r="I3" s="235">
        <v>0.43194444444444446</v>
      </c>
      <c r="J3" s="211">
        <f t="shared" si="1"/>
        <v>3.4722222222222654E-3</v>
      </c>
      <c r="K3" s="220">
        <v>53.35</v>
      </c>
      <c r="L3" s="223">
        <f t="shared" si="2"/>
        <v>32.01</v>
      </c>
      <c r="M3" s="235">
        <v>0.43541666666666662</v>
      </c>
      <c r="N3" s="235">
        <v>0.4381944444444445</v>
      </c>
      <c r="O3" s="211">
        <f t="shared" si="3"/>
        <v>2.7777777777778789E-3</v>
      </c>
      <c r="P3" s="208">
        <v>124.92</v>
      </c>
      <c r="Q3" s="223">
        <f t="shared" si="4"/>
        <v>74.951999999999998</v>
      </c>
      <c r="R3" s="235">
        <v>0.44236111111111115</v>
      </c>
      <c r="S3" s="235">
        <v>0.44513888888888892</v>
      </c>
      <c r="T3" s="211">
        <f t="shared" si="5"/>
        <v>2.7777777777777679E-3</v>
      </c>
      <c r="U3" s="208">
        <v>45.2</v>
      </c>
      <c r="V3" s="223">
        <f t="shared" si="6"/>
        <v>27.12</v>
      </c>
      <c r="W3" s="235">
        <v>0.4465277777777778</v>
      </c>
      <c r="X3" s="235">
        <v>0.44930555555555557</v>
      </c>
      <c r="Y3" s="211">
        <f t="shared" si="7"/>
        <v>2.7777777777777679E-3</v>
      </c>
      <c r="Z3" s="224">
        <v>-5</v>
      </c>
      <c r="AA3" s="223">
        <v>-5</v>
      </c>
      <c r="AB3" s="235">
        <v>0.45277777777777778</v>
      </c>
      <c r="AC3" s="235">
        <v>0.45347222222222222</v>
      </c>
      <c r="AD3" s="211">
        <f t="shared" si="8"/>
        <v>6.9444444444444198E-4</v>
      </c>
      <c r="AE3" s="224">
        <v>199</v>
      </c>
      <c r="AF3" s="223">
        <v>199</v>
      </c>
      <c r="AG3" s="235">
        <v>0.4597222222222222</v>
      </c>
      <c r="AH3" s="235">
        <v>0.4604166666666667</v>
      </c>
      <c r="AI3" s="211">
        <f t="shared" si="9"/>
        <v>6.9444444444449749E-4</v>
      </c>
      <c r="AJ3" s="226">
        <f t="shared" si="10"/>
        <v>1.5972222222222388E-2</v>
      </c>
      <c r="AK3" s="227">
        <f t="shared" si="11"/>
        <v>440.58199999999999</v>
      </c>
      <c r="AL3" s="228">
        <f t="shared" si="12"/>
        <v>5.1590398126463701E-3</v>
      </c>
      <c r="AM3" s="228">
        <f t="shared" si="13"/>
        <v>2.1131262034868759E-2</v>
      </c>
      <c r="AN3" s="225"/>
    </row>
    <row r="4" spans="1:60" s="230" customFormat="1">
      <c r="A4" s="231" t="s">
        <v>263</v>
      </c>
      <c r="B4" s="221" t="s">
        <v>261</v>
      </c>
      <c r="C4" s="235">
        <v>0.39930555555555558</v>
      </c>
      <c r="D4" s="235">
        <v>0.40277777777777773</v>
      </c>
      <c r="E4" s="211">
        <f t="shared" si="0"/>
        <v>3.4722222222221544E-3</v>
      </c>
      <c r="F4" s="220">
        <v>199</v>
      </c>
      <c r="G4" s="223">
        <v>199</v>
      </c>
      <c r="H4" s="235">
        <v>0.40833333333333338</v>
      </c>
      <c r="I4" s="235">
        <v>0.41111111111111115</v>
      </c>
      <c r="J4" s="211">
        <f t="shared" si="1"/>
        <v>2.7777777777777679E-3</v>
      </c>
      <c r="K4" s="220">
        <v>134.84</v>
      </c>
      <c r="L4" s="223">
        <f t="shared" si="2"/>
        <v>80.903999999999996</v>
      </c>
      <c r="M4" s="235">
        <v>0.41666666666666669</v>
      </c>
      <c r="N4" s="235">
        <v>0.41875000000000001</v>
      </c>
      <c r="O4" s="211">
        <f t="shared" si="3"/>
        <v>2.0833333333333259E-3</v>
      </c>
      <c r="P4" s="208">
        <v>184.36</v>
      </c>
      <c r="Q4" s="223">
        <f t="shared" si="4"/>
        <v>110.616</v>
      </c>
      <c r="R4" s="235">
        <v>0.42708333333333331</v>
      </c>
      <c r="S4" s="235">
        <v>0.43055555555555558</v>
      </c>
      <c r="T4" s="211">
        <f t="shared" si="5"/>
        <v>3.4722222222222654E-3</v>
      </c>
      <c r="U4" s="208">
        <v>92.92</v>
      </c>
      <c r="V4" s="223">
        <f t="shared" si="6"/>
        <v>55.752000000000002</v>
      </c>
      <c r="W4" s="235">
        <v>0.43888888888888888</v>
      </c>
      <c r="X4" s="235">
        <v>0.44027777777777777</v>
      </c>
      <c r="Y4" s="211">
        <f t="shared" si="7"/>
        <v>1.388888888888884E-3</v>
      </c>
      <c r="Z4" s="224">
        <v>-5</v>
      </c>
      <c r="AA4" s="223">
        <v>-5</v>
      </c>
      <c r="AB4" s="235">
        <v>0.44375000000000003</v>
      </c>
      <c r="AC4" s="235">
        <v>0.44513888888888892</v>
      </c>
      <c r="AD4" s="211">
        <f t="shared" si="8"/>
        <v>1.388888888888884E-3</v>
      </c>
      <c r="AE4" s="224">
        <v>199</v>
      </c>
      <c r="AF4" s="223">
        <v>199</v>
      </c>
      <c r="AG4" s="235">
        <v>0.45069444444444445</v>
      </c>
      <c r="AH4" s="235">
        <v>0.4513888888888889</v>
      </c>
      <c r="AI4" s="211">
        <f t="shared" si="9"/>
        <v>6.9444444444444198E-4</v>
      </c>
      <c r="AJ4" s="226">
        <f t="shared" si="10"/>
        <v>1.5277777777777724E-2</v>
      </c>
      <c r="AK4" s="227">
        <f t="shared" si="11"/>
        <v>640.27199999999993</v>
      </c>
      <c r="AL4" s="228">
        <f t="shared" si="12"/>
        <v>7.4973302107728332E-3</v>
      </c>
      <c r="AM4" s="228">
        <f t="shared" si="13"/>
        <v>2.2775107988550557E-2</v>
      </c>
      <c r="AN4" s="225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</row>
    <row r="5" spans="1:60" s="229" customFormat="1">
      <c r="A5" s="231" t="s">
        <v>278</v>
      </c>
      <c r="B5" s="221" t="s">
        <v>261</v>
      </c>
      <c r="C5" s="235">
        <v>0.54513888888888895</v>
      </c>
      <c r="D5" s="235">
        <v>0.54722222222222217</v>
      </c>
      <c r="E5" s="211">
        <f t="shared" si="0"/>
        <v>2.0833333333332149E-3</v>
      </c>
      <c r="F5" s="220">
        <v>162.47</v>
      </c>
      <c r="G5" s="223">
        <f t="shared" ref="G5:G12" si="14">SUM(F5*0.6)</f>
        <v>97.481999999999999</v>
      </c>
      <c r="H5" s="235">
        <v>0.55208333333333337</v>
      </c>
      <c r="I5" s="235">
        <v>0.55625000000000002</v>
      </c>
      <c r="J5" s="211">
        <f t="shared" si="1"/>
        <v>4.1666666666666519E-3</v>
      </c>
      <c r="K5" s="220">
        <v>53.32</v>
      </c>
      <c r="L5" s="223">
        <f t="shared" si="2"/>
        <v>31.991999999999997</v>
      </c>
      <c r="M5" s="235">
        <v>0.56111111111111112</v>
      </c>
      <c r="N5" s="235">
        <v>0.5625</v>
      </c>
      <c r="O5" s="211">
        <f t="shared" si="3"/>
        <v>1.388888888888884E-3</v>
      </c>
      <c r="P5" s="208">
        <v>152.84</v>
      </c>
      <c r="Q5" s="223">
        <f t="shared" si="4"/>
        <v>91.703999999999994</v>
      </c>
      <c r="R5" s="235">
        <v>0.56527777777777777</v>
      </c>
      <c r="S5" s="235">
        <v>0.57291666666666663</v>
      </c>
      <c r="T5" s="211">
        <f t="shared" si="5"/>
        <v>7.6388888888888618E-3</v>
      </c>
      <c r="U5" s="208">
        <v>50.92</v>
      </c>
      <c r="V5" s="223">
        <f t="shared" si="6"/>
        <v>30.552</v>
      </c>
      <c r="W5" s="235">
        <v>0.57638888888888895</v>
      </c>
      <c r="X5" s="235">
        <v>0.57847222222222217</v>
      </c>
      <c r="Y5" s="211">
        <f t="shared" si="7"/>
        <v>2.0833333333332149E-3</v>
      </c>
      <c r="Z5" s="224">
        <v>-5</v>
      </c>
      <c r="AA5" s="223">
        <v>-5</v>
      </c>
      <c r="AB5" s="235">
        <v>0.58124999999999993</v>
      </c>
      <c r="AC5" s="235">
        <v>0.58333333333333337</v>
      </c>
      <c r="AD5" s="211">
        <f t="shared" si="8"/>
        <v>2.083333333333437E-3</v>
      </c>
      <c r="AE5" s="224">
        <v>149.76</v>
      </c>
      <c r="AF5" s="223">
        <f>SUM(AE5*0.6)</f>
        <v>89.855999999999995</v>
      </c>
      <c r="AG5" s="235">
        <v>0.58958333333333335</v>
      </c>
      <c r="AH5" s="235">
        <v>0.58958333333333335</v>
      </c>
      <c r="AI5" s="211">
        <f t="shared" si="9"/>
        <v>0</v>
      </c>
      <c r="AJ5" s="226">
        <f t="shared" si="10"/>
        <v>1.9444444444444264E-2</v>
      </c>
      <c r="AK5" s="227">
        <f t="shared" si="11"/>
        <v>336.58600000000001</v>
      </c>
      <c r="AL5" s="228">
        <f t="shared" si="12"/>
        <v>3.9412880562060895E-3</v>
      </c>
      <c r="AM5" s="228">
        <f t="shared" si="13"/>
        <v>2.3385732500650354E-2</v>
      </c>
      <c r="AN5" s="225"/>
    </row>
    <row r="6" spans="1:60" s="230" customFormat="1">
      <c r="A6" s="231" t="s">
        <v>274</v>
      </c>
      <c r="B6" s="225" t="s">
        <v>275</v>
      </c>
      <c r="C6" s="235">
        <v>0.36249999999999999</v>
      </c>
      <c r="D6" s="235">
        <v>0.36736111111111108</v>
      </c>
      <c r="E6" s="211">
        <f t="shared" si="0"/>
        <v>4.8611111111110938E-3</v>
      </c>
      <c r="F6" s="220">
        <v>101.2</v>
      </c>
      <c r="G6" s="223">
        <f t="shared" si="14"/>
        <v>60.72</v>
      </c>
      <c r="H6" s="235">
        <v>0.37083333333333335</v>
      </c>
      <c r="I6" s="235">
        <v>0.3756944444444445</v>
      </c>
      <c r="J6" s="211">
        <f t="shared" si="1"/>
        <v>4.8611111111111494E-3</v>
      </c>
      <c r="K6" s="220">
        <v>51.04</v>
      </c>
      <c r="L6" s="223">
        <f t="shared" si="2"/>
        <v>30.623999999999999</v>
      </c>
      <c r="M6" s="235">
        <v>0.38125000000000003</v>
      </c>
      <c r="N6" s="235">
        <v>0.38541666666666669</v>
      </c>
      <c r="O6" s="211">
        <f t="shared" si="3"/>
        <v>4.1666666666666519E-3</v>
      </c>
      <c r="P6" s="208">
        <v>78.88</v>
      </c>
      <c r="Q6" s="223">
        <f t="shared" si="4"/>
        <v>47.327999999999996</v>
      </c>
      <c r="R6" s="235">
        <v>0.39027777777777778</v>
      </c>
      <c r="S6" s="235">
        <v>0.39513888888888887</v>
      </c>
      <c r="T6" s="211">
        <f t="shared" si="5"/>
        <v>4.8611111111110938E-3</v>
      </c>
      <c r="U6" s="208">
        <v>50.85</v>
      </c>
      <c r="V6" s="223">
        <f t="shared" si="6"/>
        <v>30.509999999999998</v>
      </c>
      <c r="W6" s="235">
        <v>0.39861111111111108</v>
      </c>
      <c r="X6" s="235">
        <v>0.39999999999999997</v>
      </c>
      <c r="Y6" s="211">
        <f t="shared" si="7"/>
        <v>1.388888888888884E-3</v>
      </c>
      <c r="Z6" s="224">
        <v>0</v>
      </c>
      <c r="AA6" s="223">
        <v>0</v>
      </c>
      <c r="AB6" s="235">
        <v>0.40347222222222223</v>
      </c>
      <c r="AC6" s="235">
        <v>0.40486111111111112</v>
      </c>
      <c r="AD6" s="211">
        <f t="shared" si="8"/>
        <v>1.388888888888884E-3</v>
      </c>
      <c r="AE6" s="224">
        <v>103.38</v>
      </c>
      <c r="AF6" s="223">
        <f>SUM(AE6*0.6)</f>
        <v>62.027999999999992</v>
      </c>
      <c r="AG6" s="235">
        <v>0.41111111111111115</v>
      </c>
      <c r="AH6" s="235">
        <v>0.41111111111111115</v>
      </c>
      <c r="AI6" s="211">
        <f t="shared" si="9"/>
        <v>0</v>
      </c>
      <c r="AJ6" s="226">
        <f t="shared" si="10"/>
        <v>2.1527777777777757E-2</v>
      </c>
      <c r="AK6" s="227">
        <f t="shared" si="11"/>
        <v>231.20999999999998</v>
      </c>
      <c r="AL6" s="228">
        <f t="shared" si="12"/>
        <v>2.7073770491803277E-3</v>
      </c>
      <c r="AM6" s="228">
        <f t="shared" si="13"/>
        <v>2.4235154826958084E-2</v>
      </c>
      <c r="AN6" s="225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</row>
    <row r="7" spans="1:60" s="230" customFormat="1">
      <c r="A7" s="231" t="s">
        <v>273</v>
      </c>
      <c r="B7" s="221" t="s">
        <v>270</v>
      </c>
      <c r="C7" s="235">
        <v>0.40625</v>
      </c>
      <c r="D7" s="235">
        <v>0.41111111111111115</v>
      </c>
      <c r="E7" s="211">
        <f t="shared" si="0"/>
        <v>4.8611111111111494E-3</v>
      </c>
      <c r="F7" s="220">
        <v>83.38</v>
      </c>
      <c r="G7" s="223">
        <f t="shared" si="14"/>
        <v>50.027999999999999</v>
      </c>
      <c r="H7" s="235">
        <v>0.41666666666666669</v>
      </c>
      <c r="I7" s="235">
        <v>0.42152777777777778</v>
      </c>
      <c r="J7" s="211">
        <f t="shared" si="1"/>
        <v>4.8611111111110938E-3</v>
      </c>
      <c r="K7" s="220">
        <v>46.6</v>
      </c>
      <c r="L7" s="223">
        <f t="shared" si="2"/>
        <v>27.96</v>
      </c>
      <c r="M7" s="235">
        <v>0.42499999999999999</v>
      </c>
      <c r="N7" s="235">
        <v>0.42986111111111108</v>
      </c>
      <c r="O7" s="211">
        <f t="shared" si="3"/>
        <v>4.8611111111110938E-3</v>
      </c>
      <c r="P7" s="208">
        <v>110.53</v>
      </c>
      <c r="Q7" s="223">
        <f t="shared" si="4"/>
        <v>66.317999999999998</v>
      </c>
      <c r="R7" s="235">
        <v>0.43402777777777773</v>
      </c>
      <c r="S7" s="235">
        <v>0.43888888888888888</v>
      </c>
      <c r="T7" s="211">
        <f t="shared" si="5"/>
        <v>4.8611111111111494E-3</v>
      </c>
      <c r="U7" s="208">
        <v>56.11</v>
      </c>
      <c r="V7" s="223">
        <f t="shared" si="6"/>
        <v>33.665999999999997</v>
      </c>
      <c r="W7" s="235">
        <v>0.44236111111111115</v>
      </c>
      <c r="X7" s="235">
        <v>0.44513888888888892</v>
      </c>
      <c r="Y7" s="211">
        <f t="shared" si="7"/>
        <v>2.7777777777777679E-3</v>
      </c>
      <c r="Z7" s="224">
        <v>0</v>
      </c>
      <c r="AA7" s="223">
        <v>0</v>
      </c>
      <c r="AB7" s="235">
        <v>0.44930555555555557</v>
      </c>
      <c r="AC7" s="235">
        <v>0.4513888888888889</v>
      </c>
      <c r="AD7" s="211">
        <f t="shared" si="8"/>
        <v>2.0833333333333259E-3</v>
      </c>
      <c r="AE7" s="224">
        <v>152.47999999999999</v>
      </c>
      <c r="AF7" s="223">
        <f>SUM(AE7*0.6)</f>
        <v>91.487999999999985</v>
      </c>
      <c r="AG7" s="235">
        <v>0.45555555555555555</v>
      </c>
      <c r="AH7" s="235">
        <v>0.45624999999999999</v>
      </c>
      <c r="AI7" s="211">
        <f t="shared" si="9"/>
        <v>6.9444444444444198E-4</v>
      </c>
      <c r="AJ7" s="226">
        <f t="shared" si="10"/>
        <v>2.5000000000000022E-2</v>
      </c>
      <c r="AK7" s="227">
        <f t="shared" si="11"/>
        <v>269.45999999999998</v>
      </c>
      <c r="AL7" s="228">
        <f t="shared" si="12"/>
        <v>3.1552693208430913E-3</v>
      </c>
      <c r="AM7" s="228">
        <f t="shared" si="13"/>
        <v>2.8155269320843113E-2</v>
      </c>
      <c r="AN7" s="225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</row>
    <row r="8" spans="1:60" s="229" customFormat="1" ht="20.55" customHeight="1">
      <c r="A8" s="231" t="s">
        <v>279</v>
      </c>
      <c r="B8" s="221" t="s">
        <v>261</v>
      </c>
      <c r="C8" s="235">
        <v>0.37361111111111112</v>
      </c>
      <c r="D8" s="235">
        <v>0.37777777777777777</v>
      </c>
      <c r="E8" s="211">
        <f t="shared" si="0"/>
        <v>4.1666666666666519E-3</v>
      </c>
      <c r="F8" s="220">
        <v>91.81</v>
      </c>
      <c r="G8" s="223">
        <f t="shared" si="14"/>
        <v>55.085999999999999</v>
      </c>
      <c r="H8" s="235">
        <v>0.38125000000000003</v>
      </c>
      <c r="I8" s="235">
        <v>0.38680555555555557</v>
      </c>
      <c r="J8" s="211">
        <f t="shared" si="1"/>
        <v>5.5555555555555358E-3</v>
      </c>
      <c r="K8" s="220">
        <v>78.52</v>
      </c>
      <c r="L8" s="223">
        <f t="shared" si="2"/>
        <v>47.111999999999995</v>
      </c>
      <c r="M8" s="235">
        <v>0.39166666666666666</v>
      </c>
      <c r="N8" s="235">
        <v>0.39583333333333331</v>
      </c>
      <c r="O8" s="211">
        <f t="shared" si="3"/>
        <v>4.1666666666666519E-3</v>
      </c>
      <c r="P8" s="208">
        <v>74.38</v>
      </c>
      <c r="Q8" s="223">
        <f t="shared" si="4"/>
        <v>44.627999999999993</v>
      </c>
      <c r="R8" s="235">
        <v>0.39930555555555558</v>
      </c>
      <c r="S8" s="235">
        <v>0.40416666666666662</v>
      </c>
      <c r="T8" s="211">
        <f t="shared" si="5"/>
        <v>4.8611111111110383E-3</v>
      </c>
      <c r="U8" s="208">
        <v>70.83</v>
      </c>
      <c r="V8" s="223">
        <f t="shared" si="6"/>
        <v>42.497999999999998</v>
      </c>
      <c r="W8" s="235">
        <v>0.40833333333333338</v>
      </c>
      <c r="X8" s="235">
        <v>0.41111111111111115</v>
      </c>
      <c r="Y8" s="211">
        <f t="shared" si="7"/>
        <v>2.7777777777777679E-3</v>
      </c>
      <c r="Z8" s="224">
        <v>0</v>
      </c>
      <c r="AA8" s="223">
        <f>SUM(Z8*0.6)</f>
        <v>0</v>
      </c>
      <c r="AB8" s="235">
        <v>0.41250000000000003</v>
      </c>
      <c r="AC8" s="235">
        <v>0.4152777777777778</v>
      </c>
      <c r="AD8" s="211">
        <f t="shared" si="8"/>
        <v>2.7777777777777679E-3</v>
      </c>
      <c r="AE8" s="224">
        <v>199</v>
      </c>
      <c r="AF8" s="223">
        <v>199</v>
      </c>
      <c r="AG8" s="235">
        <v>0.4201388888888889</v>
      </c>
      <c r="AH8" s="235">
        <v>0.42152777777777778</v>
      </c>
      <c r="AI8" s="211">
        <f t="shared" si="9"/>
        <v>1.388888888888884E-3</v>
      </c>
      <c r="AJ8" s="226">
        <f t="shared" si="10"/>
        <v>2.5694444444444298E-2</v>
      </c>
      <c r="AK8" s="227">
        <f t="shared" si="11"/>
        <v>388.32399999999996</v>
      </c>
      <c r="AL8" s="228">
        <f t="shared" si="12"/>
        <v>4.54711943793911E-3</v>
      </c>
      <c r="AM8" s="228">
        <f t="shared" si="13"/>
        <v>3.0241563882383408E-2</v>
      </c>
      <c r="AN8" s="225"/>
    </row>
    <row r="9" spans="1:60" s="230" customFormat="1" ht="20.55" customHeight="1">
      <c r="A9" s="231" t="s">
        <v>272</v>
      </c>
      <c r="B9" s="221" t="s">
        <v>270</v>
      </c>
      <c r="C9" s="235">
        <v>0.54861111111111105</v>
      </c>
      <c r="D9" s="235">
        <v>0.55347222222222225</v>
      </c>
      <c r="E9" s="211">
        <f t="shared" si="0"/>
        <v>4.8611111111112049E-3</v>
      </c>
      <c r="F9" s="220">
        <v>105.81</v>
      </c>
      <c r="G9" s="223">
        <f t="shared" si="14"/>
        <v>63.485999999999997</v>
      </c>
      <c r="H9" s="235">
        <v>0.55902777777777779</v>
      </c>
      <c r="I9" s="235">
        <v>0.56388888888888888</v>
      </c>
      <c r="J9" s="211">
        <f t="shared" si="1"/>
        <v>4.8611111111110938E-3</v>
      </c>
      <c r="K9" s="220">
        <v>34.74</v>
      </c>
      <c r="L9" s="223">
        <f t="shared" si="2"/>
        <v>20.844000000000001</v>
      </c>
      <c r="M9" s="235">
        <v>0.56874999999999998</v>
      </c>
      <c r="N9" s="235">
        <v>0.57430555555555551</v>
      </c>
      <c r="O9" s="211">
        <f t="shared" si="3"/>
        <v>5.5555555555555358E-3</v>
      </c>
      <c r="P9" s="208">
        <v>132.13999999999999</v>
      </c>
      <c r="Q9" s="223">
        <f t="shared" si="4"/>
        <v>79.283999999999992</v>
      </c>
      <c r="R9" s="235">
        <v>0.57847222222222217</v>
      </c>
      <c r="S9" s="235">
        <v>0.58402777777777781</v>
      </c>
      <c r="T9" s="211">
        <f t="shared" si="5"/>
        <v>5.5555555555556468E-3</v>
      </c>
      <c r="U9" s="208">
        <v>51.39</v>
      </c>
      <c r="V9" s="223">
        <f t="shared" si="6"/>
        <v>30.834</v>
      </c>
      <c r="W9" s="235">
        <v>0.58750000000000002</v>
      </c>
      <c r="X9" s="235">
        <v>0.59097222222222223</v>
      </c>
      <c r="Y9" s="211">
        <f t="shared" si="7"/>
        <v>3.4722222222222099E-3</v>
      </c>
      <c r="Z9" s="224">
        <v>0</v>
      </c>
      <c r="AA9" s="223">
        <f>SUM(Z9*0.6)</f>
        <v>0</v>
      </c>
      <c r="AB9" s="235">
        <v>0.59305555555555556</v>
      </c>
      <c r="AC9" s="235">
        <v>0.59583333333333333</v>
      </c>
      <c r="AD9" s="211">
        <f t="shared" si="8"/>
        <v>2.7777777777777679E-3</v>
      </c>
      <c r="AE9" s="224">
        <v>160.97999999999999</v>
      </c>
      <c r="AF9" s="223">
        <f>SUM(AE9*0.6)</f>
        <v>96.587999999999994</v>
      </c>
      <c r="AG9" s="235">
        <v>0.60277777777777775</v>
      </c>
      <c r="AH9" s="235">
        <v>0.60277777777777775</v>
      </c>
      <c r="AI9" s="211">
        <f t="shared" si="9"/>
        <v>0</v>
      </c>
      <c r="AJ9" s="226">
        <f t="shared" si="10"/>
        <v>2.7083333333333459E-2</v>
      </c>
      <c r="AK9" s="227">
        <f t="shared" si="11"/>
        <v>291.03599999999994</v>
      </c>
      <c r="AL9" s="228">
        <f t="shared" si="12"/>
        <v>3.4079156908665099E-3</v>
      </c>
      <c r="AM9" s="228">
        <f t="shared" si="13"/>
        <v>3.049124902419997E-2</v>
      </c>
      <c r="AN9" s="225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</row>
    <row r="10" spans="1:60" s="229" customFormat="1" ht="20.55" customHeight="1">
      <c r="A10" s="231" t="s">
        <v>280</v>
      </c>
      <c r="B10" s="221" t="s">
        <v>270</v>
      </c>
      <c r="C10" s="235">
        <v>0.59166666666666667</v>
      </c>
      <c r="D10" s="235">
        <v>0.59791666666666665</v>
      </c>
      <c r="E10" s="211">
        <f t="shared" si="0"/>
        <v>6.2499999999999778E-3</v>
      </c>
      <c r="F10" s="220">
        <v>141.9</v>
      </c>
      <c r="G10" s="223">
        <f t="shared" si="14"/>
        <v>85.14</v>
      </c>
      <c r="H10" s="235">
        <v>0.6020833333333333</v>
      </c>
      <c r="I10" s="235">
        <v>0.60833333333333328</v>
      </c>
      <c r="J10" s="211">
        <f t="shared" si="1"/>
        <v>6.2499999999999778E-3</v>
      </c>
      <c r="K10" s="220">
        <v>138.30000000000001</v>
      </c>
      <c r="L10" s="223">
        <f t="shared" si="2"/>
        <v>82.98</v>
      </c>
      <c r="M10" s="235">
        <v>0.61388888888888882</v>
      </c>
      <c r="N10" s="235">
        <v>0.61875000000000002</v>
      </c>
      <c r="O10" s="211">
        <f t="shared" si="3"/>
        <v>4.8611111111112049E-3</v>
      </c>
      <c r="P10" s="208">
        <v>163.87</v>
      </c>
      <c r="Q10" s="223">
        <f t="shared" si="4"/>
        <v>98.322000000000003</v>
      </c>
      <c r="R10" s="235">
        <v>0.62430555555555556</v>
      </c>
      <c r="S10" s="235">
        <v>0.63194444444444442</v>
      </c>
      <c r="T10" s="211">
        <f t="shared" si="5"/>
        <v>7.6388888888888618E-3</v>
      </c>
      <c r="U10" s="208">
        <v>126.35</v>
      </c>
      <c r="V10" s="223">
        <f t="shared" si="6"/>
        <v>75.809999999999988</v>
      </c>
      <c r="W10" s="235">
        <v>0.63611111111111118</v>
      </c>
      <c r="X10" s="235">
        <v>0.63680555555555551</v>
      </c>
      <c r="Y10" s="211">
        <f t="shared" si="7"/>
        <v>6.9444444444433095E-4</v>
      </c>
      <c r="Z10" s="224">
        <v>0</v>
      </c>
      <c r="AA10" s="223">
        <f>SUM(Z10*0.6)</f>
        <v>0</v>
      </c>
      <c r="AB10" s="235">
        <v>0.63888888888888895</v>
      </c>
      <c r="AC10" s="235">
        <v>0.64027777777777783</v>
      </c>
      <c r="AD10" s="211">
        <f t="shared" si="8"/>
        <v>1.388888888888884E-3</v>
      </c>
      <c r="AE10" s="224">
        <v>199</v>
      </c>
      <c r="AF10" s="223">
        <v>199</v>
      </c>
      <c r="AG10" s="235">
        <v>0.64374999999999993</v>
      </c>
      <c r="AH10" s="235">
        <v>0.64444444444444449</v>
      </c>
      <c r="AI10" s="211">
        <f t="shared" si="9"/>
        <v>6.94444444444553E-4</v>
      </c>
      <c r="AJ10" s="226">
        <f t="shared" si="10"/>
        <v>2.777777777777779E-2</v>
      </c>
      <c r="AK10" s="227">
        <f t="shared" si="11"/>
        <v>541.25199999999995</v>
      </c>
      <c r="AL10" s="228">
        <f t="shared" si="12"/>
        <v>6.3378454332552684E-3</v>
      </c>
      <c r="AM10" s="228">
        <f t="shared" si="13"/>
        <v>3.4115623211033057E-2</v>
      </c>
      <c r="AN10" s="225"/>
    </row>
    <row r="11" spans="1:60" s="230" customFormat="1" ht="20.55" customHeight="1">
      <c r="A11" s="231" t="s">
        <v>260</v>
      </c>
      <c r="B11" s="221" t="s">
        <v>261</v>
      </c>
      <c r="C11" s="235">
        <v>0.38541666666666669</v>
      </c>
      <c r="D11" s="235">
        <v>0.38958333333333334</v>
      </c>
      <c r="E11" s="211">
        <f t="shared" si="0"/>
        <v>4.1666666666666519E-3</v>
      </c>
      <c r="F11" s="220">
        <v>198.88</v>
      </c>
      <c r="G11" s="223">
        <f t="shared" si="14"/>
        <v>119.32799999999999</v>
      </c>
      <c r="H11" s="235">
        <v>0.39444444444444443</v>
      </c>
      <c r="I11" s="235">
        <v>0.39930555555555558</v>
      </c>
      <c r="J11" s="211">
        <f t="shared" si="1"/>
        <v>4.8611111111111494E-3</v>
      </c>
      <c r="K11" s="220">
        <v>199</v>
      </c>
      <c r="L11" s="223">
        <v>199</v>
      </c>
      <c r="M11" s="235">
        <v>0.40416666666666662</v>
      </c>
      <c r="N11" s="235">
        <v>0.40833333333333338</v>
      </c>
      <c r="O11" s="211">
        <f t="shared" si="3"/>
        <v>4.1666666666667629E-3</v>
      </c>
      <c r="P11" s="208">
        <v>199</v>
      </c>
      <c r="Q11" s="223">
        <v>199</v>
      </c>
      <c r="R11" s="235">
        <v>0.41736111111111113</v>
      </c>
      <c r="S11" s="235">
        <v>0.4236111111111111</v>
      </c>
      <c r="T11" s="211">
        <f t="shared" si="5"/>
        <v>6.2499999999999778E-3</v>
      </c>
      <c r="U11" s="208">
        <v>199</v>
      </c>
      <c r="V11" s="223">
        <v>199</v>
      </c>
      <c r="W11" s="235">
        <v>0.42986111111111108</v>
      </c>
      <c r="X11" s="235">
        <v>0.43263888888888885</v>
      </c>
      <c r="Y11" s="211">
        <f t="shared" si="7"/>
        <v>2.7777777777777679E-3</v>
      </c>
      <c r="Z11" s="224">
        <v>0</v>
      </c>
      <c r="AA11" s="223">
        <f>SUM(Z11*0.6)</f>
        <v>0</v>
      </c>
      <c r="AB11" s="235">
        <v>0.43472222222222223</v>
      </c>
      <c r="AC11" s="235">
        <v>0.43611111111111112</v>
      </c>
      <c r="AD11" s="211">
        <f t="shared" si="8"/>
        <v>1.388888888888884E-3</v>
      </c>
      <c r="AE11" s="224">
        <v>199</v>
      </c>
      <c r="AF11" s="223">
        <v>199</v>
      </c>
      <c r="AG11" s="235">
        <v>0.44097222222222227</v>
      </c>
      <c r="AH11" s="235">
        <v>0.44166666666666665</v>
      </c>
      <c r="AI11" s="211">
        <f t="shared" si="9"/>
        <v>6.9444444444438647E-4</v>
      </c>
      <c r="AJ11" s="226">
        <f t="shared" si="10"/>
        <v>2.430555555555558E-2</v>
      </c>
      <c r="AK11" s="227">
        <f t="shared" si="11"/>
        <v>915.32799999999997</v>
      </c>
      <c r="AL11" s="228">
        <f t="shared" si="12"/>
        <v>1.0718126463700234E-2</v>
      </c>
      <c r="AM11" s="228">
        <f t="shared" si="13"/>
        <v>3.5023682019255813E-2</v>
      </c>
      <c r="AN11" s="225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</row>
    <row r="12" spans="1:60" s="229" customFormat="1" ht="20.55" customHeight="1">
      <c r="A12" s="231" t="s">
        <v>276</v>
      </c>
      <c r="B12" s="221" t="s">
        <v>277</v>
      </c>
      <c r="C12" s="235">
        <v>0.37916666666666665</v>
      </c>
      <c r="D12" s="235">
        <v>0.3840277777777778</v>
      </c>
      <c r="E12" s="211">
        <f t="shared" si="0"/>
        <v>4.8611111111111494E-3</v>
      </c>
      <c r="F12" s="220">
        <v>180</v>
      </c>
      <c r="G12" s="223">
        <f t="shared" si="14"/>
        <v>108</v>
      </c>
      <c r="H12" s="235">
        <v>0.3888888888888889</v>
      </c>
      <c r="I12" s="235">
        <v>0.39374999999999999</v>
      </c>
      <c r="J12" s="211">
        <f t="shared" si="1"/>
        <v>4.8611111111110938E-3</v>
      </c>
      <c r="K12" s="220">
        <v>199</v>
      </c>
      <c r="L12" s="223">
        <v>199</v>
      </c>
      <c r="M12" s="235">
        <v>0.39999999999999997</v>
      </c>
      <c r="N12" s="235">
        <v>0.40625</v>
      </c>
      <c r="O12" s="211">
        <f t="shared" si="3"/>
        <v>6.2500000000000333E-3</v>
      </c>
      <c r="P12" s="208">
        <v>199</v>
      </c>
      <c r="Q12" s="223">
        <v>199</v>
      </c>
      <c r="R12" s="235">
        <v>0.41319444444444442</v>
      </c>
      <c r="S12" s="235">
        <v>0.41944444444444445</v>
      </c>
      <c r="T12" s="211">
        <f t="shared" si="5"/>
        <v>6.2500000000000333E-3</v>
      </c>
      <c r="U12" s="208">
        <v>199</v>
      </c>
      <c r="V12" s="223">
        <v>199</v>
      </c>
      <c r="W12" s="235">
        <v>0.42499999999999999</v>
      </c>
      <c r="X12" s="235">
        <v>0.4284722222222222</v>
      </c>
      <c r="Y12" s="211">
        <f t="shared" si="7"/>
        <v>3.4722222222222099E-3</v>
      </c>
      <c r="Z12" s="224">
        <v>0</v>
      </c>
      <c r="AA12" s="223">
        <v>0</v>
      </c>
      <c r="AB12" s="235">
        <v>0.42986111111111108</v>
      </c>
      <c r="AC12" s="235">
        <v>0.43194444444444446</v>
      </c>
      <c r="AD12" s="211">
        <f t="shared" si="8"/>
        <v>2.0833333333333814E-3</v>
      </c>
      <c r="AE12" s="224">
        <v>199</v>
      </c>
      <c r="AF12" s="223">
        <v>199</v>
      </c>
      <c r="AG12" s="235">
        <v>0.4375</v>
      </c>
      <c r="AH12" s="235">
        <v>0.4381944444444445</v>
      </c>
      <c r="AI12" s="211">
        <f t="shared" si="9"/>
        <v>6.9444444444449749E-4</v>
      </c>
      <c r="AJ12" s="226">
        <f t="shared" si="10"/>
        <v>2.8472222222222399E-2</v>
      </c>
      <c r="AK12" s="227">
        <f t="shared" si="11"/>
        <v>904</v>
      </c>
      <c r="AL12" s="228">
        <f t="shared" si="12"/>
        <v>1.0585480093676816E-2</v>
      </c>
      <c r="AM12" s="228">
        <f t="shared" si="13"/>
        <v>3.9057702315899216E-2</v>
      </c>
      <c r="AN12" s="225"/>
    </row>
    <row r="13" spans="1:60" s="230" customFormat="1" ht="20.55" customHeight="1">
      <c r="A13" s="231" t="s">
        <v>282</v>
      </c>
      <c r="B13" s="212" t="s">
        <v>283</v>
      </c>
      <c r="C13" s="235">
        <v>0.65277777777777779</v>
      </c>
      <c r="D13" s="235">
        <v>0.65972222222222221</v>
      </c>
      <c r="E13" s="211">
        <f t="shared" si="0"/>
        <v>6.9444444444444198E-3</v>
      </c>
      <c r="F13" s="220">
        <v>199</v>
      </c>
      <c r="G13" s="223">
        <v>199</v>
      </c>
      <c r="H13" s="235">
        <v>0.66527777777777775</v>
      </c>
      <c r="I13" s="235">
        <v>0.67222222222222217</v>
      </c>
      <c r="J13" s="211">
        <f t="shared" si="1"/>
        <v>6.9444444444444198E-3</v>
      </c>
      <c r="K13" s="220">
        <v>91.25</v>
      </c>
      <c r="L13" s="223">
        <f>SUM(K13*0.6)</f>
        <v>54.75</v>
      </c>
      <c r="M13" s="235">
        <v>0.67638888888888893</v>
      </c>
      <c r="N13" s="235">
        <v>0.68333333333333324</v>
      </c>
      <c r="O13" s="211">
        <f t="shared" si="3"/>
        <v>6.9444444444443088E-3</v>
      </c>
      <c r="P13" s="208">
        <v>157.91</v>
      </c>
      <c r="Q13" s="223">
        <f>SUM(P13*0.6)</f>
        <v>94.745999999999995</v>
      </c>
      <c r="R13" s="235">
        <v>0.69166666666666676</v>
      </c>
      <c r="S13" s="235">
        <v>0.69930555555555562</v>
      </c>
      <c r="T13" s="211">
        <f t="shared" si="5"/>
        <v>7.6388888888888618E-3</v>
      </c>
      <c r="U13" s="208">
        <v>130.13999999999999</v>
      </c>
      <c r="V13" s="223">
        <f>SUM(U13*0.6)</f>
        <v>78.083999999999989</v>
      </c>
      <c r="W13" s="235">
        <v>0.70416666666666661</v>
      </c>
      <c r="X13" s="235">
        <v>0.70763888888888893</v>
      </c>
      <c r="Y13" s="211">
        <f t="shared" si="7"/>
        <v>3.4722222222223209E-3</v>
      </c>
      <c r="Z13" s="224">
        <v>0</v>
      </c>
      <c r="AA13" s="223">
        <f>SUM(Z13*0.6)</f>
        <v>0</v>
      </c>
      <c r="AB13" s="235">
        <v>0.71180555555555547</v>
      </c>
      <c r="AC13" s="235">
        <v>0.71458333333333324</v>
      </c>
      <c r="AD13" s="211">
        <f t="shared" si="8"/>
        <v>2.7777777777777679E-3</v>
      </c>
      <c r="AE13" s="224">
        <v>199</v>
      </c>
      <c r="AF13" s="223">
        <v>199</v>
      </c>
      <c r="AG13" s="235">
        <v>0.72638888888888886</v>
      </c>
      <c r="AH13" s="235">
        <v>0.72638888888888886</v>
      </c>
      <c r="AI13" s="211">
        <f t="shared" si="9"/>
        <v>0</v>
      </c>
      <c r="AJ13" s="226">
        <f t="shared" si="10"/>
        <v>3.4722222222222099E-2</v>
      </c>
      <c r="AK13" s="227">
        <f t="shared" si="11"/>
        <v>625.57999999999993</v>
      </c>
      <c r="AL13" s="228">
        <f t="shared" si="12"/>
        <v>7.3252927400468378E-3</v>
      </c>
      <c r="AM13" s="228">
        <f t="shared" si="13"/>
        <v>4.2047514962268939E-2</v>
      </c>
      <c r="AN13" s="12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</row>
    <row r="14" spans="1:60" s="229" customFormat="1" ht="20.55" customHeight="1">
      <c r="A14" s="231" t="s">
        <v>281</v>
      </c>
      <c r="B14" s="212" t="s">
        <v>270</v>
      </c>
      <c r="C14" s="235">
        <v>0.5083333333333333</v>
      </c>
      <c r="D14" s="235">
        <v>0.51736111111111105</v>
      </c>
      <c r="E14" s="211">
        <f t="shared" si="0"/>
        <v>9.0277777777777457E-3</v>
      </c>
      <c r="F14" s="220">
        <v>199</v>
      </c>
      <c r="G14" s="223">
        <v>199</v>
      </c>
      <c r="H14" s="235">
        <v>0.5229166666666667</v>
      </c>
      <c r="I14" s="235">
        <v>0.52986111111111112</v>
      </c>
      <c r="J14" s="211">
        <f t="shared" si="1"/>
        <v>6.9444444444444198E-3</v>
      </c>
      <c r="K14" s="220">
        <v>199</v>
      </c>
      <c r="L14" s="223">
        <v>199</v>
      </c>
      <c r="M14" s="235">
        <v>0.53611111111111109</v>
      </c>
      <c r="N14" s="235">
        <v>0.54097222222222219</v>
      </c>
      <c r="O14" s="211">
        <f t="shared" si="3"/>
        <v>4.8611111111110938E-3</v>
      </c>
      <c r="P14" s="208">
        <v>199</v>
      </c>
      <c r="Q14" s="223">
        <v>199</v>
      </c>
      <c r="R14" s="235">
        <v>0.54722222222222217</v>
      </c>
      <c r="S14" s="235">
        <v>0.55625000000000002</v>
      </c>
      <c r="T14" s="211">
        <f t="shared" si="5"/>
        <v>9.0277777777778567E-3</v>
      </c>
      <c r="U14" s="208">
        <v>199</v>
      </c>
      <c r="V14" s="223">
        <v>199</v>
      </c>
      <c r="W14" s="235">
        <v>0.56180555555555556</v>
      </c>
      <c r="X14" s="235">
        <v>0.56527777777777777</v>
      </c>
      <c r="Y14" s="211">
        <f t="shared" si="7"/>
        <v>3.4722222222222099E-3</v>
      </c>
      <c r="Z14" s="224">
        <v>0</v>
      </c>
      <c r="AA14" s="223">
        <f>SUM(Z14*0.6)</f>
        <v>0</v>
      </c>
      <c r="AB14" s="235">
        <v>0.56805555555555554</v>
      </c>
      <c r="AC14" s="235">
        <v>0.5708333333333333</v>
      </c>
      <c r="AD14" s="211">
        <f t="shared" si="8"/>
        <v>2.7777777777777679E-3</v>
      </c>
      <c r="AE14" s="224">
        <v>199</v>
      </c>
      <c r="AF14" s="223">
        <v>199</v>
      </c>
      <c r="AG14" s="235">
        <v>0.57777777777777783</v>
      </c>
      <c r="AH14" s="235">
        <v>0.57847222222222217</v>
      </c>
      <c r="AI14" s="211">
        <f t="shared" si="9"/>
        <v>6.9444444444433095E-4</v>
      </c>
      <c r="AJ14" s="226">
        <f t="shared" si="10"/>
        <v>3.6805555555555425E-2</v>
      </c>
      <c r="AK14" s="227">
        <f t="shared" si="11"/>
        <v>995</v>
      </c>
      <c r="AL14" s="228">
        <f t="shared" si="12"/>
        <v>1.1651053864168618E-2</v>
      </c>
      <c r="AM14" s="228">
        <f t="shared" si="13"/>
        <v>4.8456609419724045E-2</v>
      </c>
      <c r="AN14" s="12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  <row r="187" spans="5:35">
      <c r="E187"/>
      <c r="J187"/>
      <c r="O187"/>
      <c r="T187"/>
      <c r="Y187"/>
      <c r="AD187"/>
      <c r="AI187"/>
    </row>
    <row r="188" spans="5:35">
      <c r="E188"/>
      <c r="J188"/>
      <c r="O188"/>
      <c r="T188"/>
      <c r="Y188"/>
      <c r="AD188"/>
      <c r="AI188"/>
    </row>
    <row r="189" spans="5:35">
      <c r="E189"/>
      <c r="J189"/>
      <c r="O189"/>
      <c r="T189"/>
      <c r="Y189"/>
      <c r="AD189"/>
      <c r="AI189"/>
    </row>
    <row r="190" spans="5:35">
      <c r="E190"/>
      <c r="J190"/>
      <c r="O190"/>
      <c r="T190"/>
      <c r="Y190"/>
      <c r="AD190"/>
      <c r="AI190"/>
    </row>
    <row r="191" spans="5:35">
      <c r="E191"/>
      <c r="J191"/>
      <c r="O191"/>
      <c r="T191"/>
      <c r="Y191"/>
      <c r="AD191"/>
      <c r="AI191"/>
    </row>
    <row r="192" spans="5:35">
      <c r="E192"/>
      <c r="J192"/>
      <c r="O192"/>
      <c r="T192"/>
      <c r="Y192"/>
      <c r="AD192"/>
      <c r="AI192"/>
    </row>
    <row r="193" spans="5:35">
      <c r="E193"/>
      <c r="J193"/>
      <c r="O193"/>
      <c r="T193"/>
      <c r="Y193"/>
      <c r="AD193"/>
      <c r="AI193"/>
    </row>
    <row r="194" spans="5:35">
      <c r="E194"/>
      <c r="J194"/>
      <c r="O194"/>
      <c r="T194"/>
      <c r="Y194"/>
      <c r="AD194"/>
      <c r="AI194"/>
    </row>
  </sheetData>
  <autoFilter ref="A1:AN14" xr:uid="{83CF93B3-C431-49F1-A590-E27AEBEF8623}">
    <sortState xmlns:xlrd2="http://schemas.microsoft.com/office/spreadsheetml/2017/richdata2" ref="A2:AN14">
      <sortCondition ref="AM1:AM14"/>
    </sortState>
  </autoFilter>
  <sortState xmlns:xlrd2="http://schemas.microsoft.com/office/spreadsheetml/2017/richdata2" ref="A2:AN14">
    <sortCondition ref="B2:B14"/>
  </sortState>
  <pageMargins left="0.25" right="0.25" top="0.75" bottom="0.75" header="0.3" footer="0.3"/>
  <pageSetup scale="21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BDEF-27C4-4557-9B60-89170C356F7C}">
  <dimension ref="A1:AU110"/>
  <sheetViews>
    <sheetView topLeftCell="A8" zoomScaleNormal="100" zoomScaleSheetLayoutView="89" workbookViewId="0">
      <pane xSplit="1" topLeftCell="X1" activePane="topRight" state="frozen"/>
      <selection pane="topRight" activeCell="V57" sqref="V57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customWidth="1"/>
    <col min="7" max="7" width="9.77734375" style="26" customWidth="1"/>
    <col min="8" max="8" width="11.44140625" customWidth="1"/>
    <col min="9" max="9" width="15.6640625" customWidth="1"/>
    <col min="10" max="10" width="14" customWidth="1"/>
    <col min="11" max="11" width="18.109375" style="26" customWidth="1"/>
    <col min="12" max="12" width="12.33203125" customWidth="1"/>
    <col min="13" max="13" width="11.44140625" customWidth="1"/>
    <col min="14" max="14" width="14" style="2" customWidth="1"/>
    <col min="15" max="15" width="11.44140625" style="26" customWidth="1"/>
    <col min="16" max="16" width="9.6640625" style="2" customWidth="1"/>
    <col min="17" max="17" width="11.44140625" customWidth="1"/>
    <col min="18" max="18" width="14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47" s="9" customFormat="1" ht="19.2" customHeight="1">
      <c r="A2" s="50" t="s">
        <v>18</v>
      </c>
      <c r="B2" s="179" t="s">
        <v>196</v>
      </c>
      <c r="C2" s="171" t="s">
        <v>197</v>
      </c>
      <c r="D2" s="170" t="s">
        <v>191</v>
      </c>
      <c r="E2" s="172">
        <v>0.32708333333333334</v>
      </c>
      <c r="F2" s="172">
        <v>0.32847222222222222</v>
      </c>
      <c r="G2" s="173">
        <f t="shared" ref="G2:G33" si="0">SUM(F2-E2)</f>
        <v>1.388888888888884E-3</v>
      </c>
      <c r="H2" s="208">
        <v>180</v>
      </c>
      <c r="I2" s="173">
        <v>0.34097222222222223</v>
      </c>
      <c r="J2" s="173">
        <v>0.3444444444444445</v>
      </c>
      <c r="K2" s="173">
        <f t="shared" ref="K2:K33" si="1">SUM(J2-I2)</f>
        <v>3.4722222222222654E-3</v>
      </c>
      <c r="L2" s="175">
        <v>179</v>
      </c>
      <c r="M2" s="173">
        <v>0.35416666666666669</v>
      </c>
      <c r="N2" s="173">
        <v>0.35833333333333334</v>
      </c>
      <c r="O2" s="173">
        <f t="shared" ref="O2:O33" si="2">SUM(N2-M2)</f>
        <v>4.1666666666666519E-3</v>
      </c>
      <c r="P2" s="175">
        <v>199</v>
      </c>
      <c r="Q2" s="174">
        <v>0.37013888888888885</v>
      </c>
      <c r="R2" s="174">
        <v>0.3756944444444445</v>
      </c>
      <c r="S2" s="173">
        <f t="shared" ref="S2:S33" si="3">SUM(R2-Q2)</f>
        <v>5.5555555555556468E-3</v>
      </c>
      <c r="T2" s="175">
        <v>180</v>
      </c>
      <c r="U2" s="174">
        <v>0.38541666666666669</v>
      </c>
      <c r="V2" s="173">
        <v>0.38819444444444445</v>
      </c>
      <c r="W2" s="173">
        <f t="shared" ref="W2:W33" si="4">SUM(V2-U2)</f>
        <v>2.7777777777777679E-3</v>
      </c>
      <c r="X2" s="175">
        <v>160.15</v>
      </c>
      <c r="Y2" s="173">
        <v>0.39861111111111108</v>
      </c>
      <c r="Z2" s="173">
        <v>0.40486111111111112</v>
      </c>
      <c r="AA2" s="173">
        <f t="shared" ref="AA2:AA33" si="5">SUM(Z2-Y2)</f>
        <v>6.2500000000000333E-3</v>
      </c>
      <c r="AB2" s="176"/>
      <c r="AC2" s="173">
        <v>0.40972222222222227</v>
      </c>
      <c r="AD2" s="173">
        <v>0.41041666666666665</v>
      </c>
      <c r="AE2" s="173">
        <f t="shared" ref="AE2:AE33" si="6">SUM(AD2-AC2)</f>
        <v>6.9444444444438647E-4</v>
      </c>
      <c r="AF2" s="177">
        <f t="shared" ref="AF2:AF33" si="7">SUM(G2+K2+O2+S2+W2+AA2+AE2)</f>
        <v>2.4305555555555636E-2</v>
      </c>
      <c r="AG2" s="176">
        <f t="shared" ref="AG2:AG33" si="8">SUM(H2+L2+P2+T2+X2-AB2)</f>
        <v>898.15</v>
      </c>
      <c r="AH2" s="177">
        <f t="shared" ref="AH2:AH33" si="9">AG2/85400</f>
        <v>1.0516978922716627E-2</v>
      </c>
      <c r="AI2" s="177">
        <f t="shared" ref="AI2:AI33" si="10">SUM(AF2+AH2)</f>
        <v>3.4822534478272264E-2</v>
      </c>
      <c r="AJ2" s="178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>
      <c r="A3" s="133" t="s">
        <v>29</v>
      </c>
      <c r="B3" s="170" t="s">
        <v>189</v>
      </c>
      <c r="C3" s="171" t="s">
        <v>190</v>
      </c>
      <c r="D3" s="170" t="s">
        <v>21</v>
      </c>
      <c r="E3" s="180">
        <v>0.33333333333333331</v>
      </c>
      <c r="F3" s="180">
        <v>0.3347222222222222</v>
      </c>
      <c r="G3" s="173">
        <f t="shared" si="0"/>
        <v>1.388888888888884E-3</v>
      </c>
      <c r="H3" s="208">
        <v>102.46</v>
      </c>
      <c r="I3" s="173">
        <v>0.35833333333333334</v>
      </c>
      <c r="J3" s="173">
        <v>0.36458333333333331</v>
      </c>
      <c r="K3" s="173">
        <f t="shared" si="1"/>
        <v>6.2499999999999778E-3</v>
      </c>
      <c r="L3" s="175">
        <v>76.7</v>
      </c>
      <c r="M3" s="173">
        <v>0.37291666666666662</v>
      </c>
      <c r="N3" s="173">
        <v>0.3756944444444445</v>
      </c>
      <c r="O3" s="173">
        <f t="shared" si="2"/>
        <v>2.7777777777778789E-3</v>
      </c>
      <c r="P3" s="208">
        <v>90.56</v>
      </c>
      <c r="Q3" s="174">
        <v>0.39513888888888887</v>
      </c>
      <c r="R3" s="174">
        <v>0.39861111111111108</v>
      </c>
      <c r="S3" s="173">
        <f t="shared" si="3"/>
        <v>3.4722222222222099E-3</v>
      </c>
      <c r="T3" s="175">
        <v>120.98</v>
      </c>
      <c r="U3" s="174">
        <v>0.41111111111111115</v>
      </c>
      <c r="V3" s="173">
        <v>0.41319444444444442</v>
      </c>
      <c r="W3" s="173">
        <f t="shared" si="4"/>
        <v>2.0833333333332704E-3</v>
      </c>
      <c r="X3" s="175">
        <v>124.94</v>
      </c>
      <c r="Y3" s="173">
        <v>0.42083333333333334</v>
      </c>
      <c r="Z3" s="173">
        <v>0.42638888888888887</v>
      </c>
      <c r="AA3" s="173">
        <f t="shared" si="5"/>
        <v>5.5555555555555358E-3</v>
      </c>
      <c r="AB3" s="176">
        <v>5</v>
      </c>
      <c r="AC3" s="173">
        <v>0.4291666666666667</v>
      </c>
      <c r="AD3" s="173">
        <v>0.4291666666666667</v>
      </c>
      <c r="AE3" s="173">
        <f t="shared" si="6"/>
        <v>0</v>
      </c>
      <c r="AF3" s="177">
        <f t="shared" si="7"/>
        <v>2.1527777777777757E-2</v>
      </c>
      <c r="AG3" s="176">
        <f t="shared" si="8"/>
        <v>510.6400000000001</v>
      </c>
      <c r="AH3" s="177">
        <f t="shared" si="9"/>
        <v>5.9793911007025771E-3</v>
      </c>
      <c r="AI3" s="177">
        <f t="shared" si="10"/>
        <v>2.7507168878480336E-2</v>
      </c>
      <c r="AJ3" s="178"/>
    </row>
    <row r="4" spans="1:47">
      <c r="A4" s="132" t="s">
        <v>92</v>
      </c>
      <c r="B4" s="170" t="s">
        <v>187</v>
      </c>
      <c r="C4" s="198" t="s">
        <v>188</v>
      </c>
      <c r="D4" s="203" t="s">
        <v>186</v>
      </c>
      <c r="E4" s="180">
        <v>0.45833333333333331</v>
      </c>
      <c r="F4" s="180">
        <v>0.4604166666666667</v>
      </c>
      <c r="G4" s="173">
        <f t="shared" si="0"/>
        <v>2.0833333333333814E-3</v>
      </c>
      <c r="H4" s="208">
        <v>150.21</v>
      </c>
      <c r="I4" s="173">
        <v>0.50763888888888886</v>
      </c>
      <c r="J4" s="173">
        <v>0.5131944444444444</v>
      </c>
      <c r="K4" s="173">
        <f t="shared" si="1"/>
        <v>5.5555555555555358E-3</v>
      </c>
      <c r="L4" s="175">
        <v>82.31</v>
      </c>
      <c r="M4" s="173">
        <v>0.5229166666666667</v>
      </c>
      <c r="N4" s="173">
        <v>0.52847222222222223</v>
      </c>
      <c r="O4" s="173">
        <f t="shared" si="2"/>
        <v>5.5555555555555358E-3</v>
      </c>
      <c r="P4" s="208">
        <v>174.56</v>
      </c>
      <c r="Q4" s="174">
        <v>0.57222222222222219</v>
      </c>
      <c r="R4" s="174">
        <v>0.57847222222222217</v>
      </c>
      <c r="S4" s="173">
        <f t="shared" si="3"/>
        <v>6.2499999999999778E-3</v>
      </c>
      <c r="T4" s="175">
        <v>160.80000000000001</v>
      </c>
      <c r="U4" s="174">
        <v>0.59791666666666665</v>
      </c>
      <c r="V4" s="173">
        <v>0.60138888888888886</v>
      </c>
      <c r="W4" s="173">
        <f t="shared" si="4"/>
        <v>3.4722222222222099E-3</v>
      </c>
      <c r="X4" s="175">
        <v>102.05</v>
      </c>
      <c r="Y4" s="173">
        <v>0.61597222222222225</v>
      </c>
      <c r="Z4" s="173">
        <v>0.62708333333333333</v>
      </c>
      <c r="AA4" s="173">
        <f t="shared" si="5"/>
        <v>1.1111111111111072E-2</v>
      </c>
      <c r="AB4" s="176"/>
      <c r="AC4" s="173">
        <v>0.63055555555555554</v>
      </c>
      <c r="AD4" s="173">
        <v>0.63124999999999998</v>
      </c>
      <c r="AE4" s="173">
        <f t="shared" si="6"/>
        <v>6.9444444444444198E-4</v>
      </c>
      <c r="AF4" s="177">
        <f t="shared" si="7"/>
        <v>3.4722222222222154E-2</v>
      </c>
      <c r="AG4" s="176">
        <f t="shared" si="8"/>
        <v>669.93000000000006</v>
      </c>
      <c r="AH4" s="177">
        <f t="shared" si="9"/>
        <v>7.8446135831381734E-3</v>
      </c>
      <c r="AI4" s="177">
        <f t="shared" si="10"/>
        <v>4.2566835805360331E-2</v>
      </c>
      <c r="AJ4" s="187"/>
    </row>
    <row r="5" spans="1:47" s="9" customFormat="1">
      <c r="A5" s="50" t="s">
        <v>111</v>
      </c>
      <c r="B5" s="170" t="s">
        <v>184</v>
      </c>
      <c r="C5" s="198" t="s">
        <v>185</v>
      </c>
      <c r="D5" s="203" t="s">
        <v>186</v>
      </c>
      <c r="E5" s="180">
        <v>0.52847222222222223</v>
      </c>
      <c r="F5" s="174">
        <v>0.53055555555555556</v>
      </c>
      <c r="G5" s="173">
        <f t="shared" si="0"/>
        <v>2.0833333333333259E-3</v>
      </c>
      <c r="H5" s="208">
        <v>131.29</v>
      </c>
      <c r="I5" s="173">
        <v>0.55138888888888882</v>
      </c>
      <c r="J5" s="173">
        <v>0.56111111111111112</v>
      </c>
      <c r="K5" s="173">
        <f t="shared" si="1"/>
        <v>9.7222222222222987E-3</v>
      </c>
      <c r="L5" s="175">
        <v>124.86</v>
      </c>
      <c r="M5" s="173">
        <v>0.57013888888888886</v>
      </c>
      <c r="N5" s="173">
        <v>0.57638888888888895</v>
      </c>
      <c r="O5" s="173">
        <f t="shared" si="2"/>
        <v>6.2500000000000888E-3</v>
      </c>
      <c r="P5" s="208">
        <v>188.79</v>
      </c>
      <c r="Q5" s="174">
        <v>0.59861111111111109</v>
      </c>
      <c r="R5" s="174">
        <v>0.60555555555555551</v>
      </c>
      <c r="S5" s="173">
        <f t="shared" si="3"/>
        <v>6.9444444444444198E-3</v>
      </c>
      <c r="T5" s="175">
        <v>180</v>
      </c>
      <c r="U5" s="174">
        <v>0.62361111111111112</v>
      </c>
      <c r="V5" s="173">
        <v>0.62847222222222221</v>
      </c>
      <c r="W5" s="173">
        <f t="shared" si="4"/>
        <v>4.8611111111110938E-3</v>
      </c>
      <c r="X5" s="175">
        <v>93.23</v>
      </c>
      <c r="Y5" s="173">
        <v>0.63680555555555551</v>
      </c>
      <c r="Z5" s="173">
        <v>0.65</v>
      </c>
      <c r="AA5" s="173">
        <f t="shared" si="5"/>
        <v>1.3194444444444509E-2</v>
      </c>
      <c r="AB5" s="176"/>
      <c r="AC5" s="173">
        <v>0.65902777777777777</v>
      </c>
      <c r="AD5" s="173">
        <v>0.65972222222222221</v>
      </c>
      <c r="AE5" s="173">
        <f t="shared" si="6"/>
        <v>6.9444444444444198E-4</v>
      </c>
      <c r="AF5" s="177">
        <f t="shared" si="7"/>
        <v>4.3750000000000178E-2</v>
      </c>
      <c r="AG5" s="176">
        <f t="shared" si="8"/>
        <v>718.17</v>
      </c>
      <c r="AH5" s="177">
        <f t="shared" si="9"/>
        <v>8.4094847775175643E-3</v>
      </c>
      <c r="AI5" s="177">
        <f t="shared" si="10"/>
        <v>5.2159484777517744E-2</v>
      </c>
      <c r="AJ5" s="186"/>
    </row>
    <row r="6" spans="1:47" s="2" customFormat="1">
      <c r="A6" s="50" t="s">
        <v>18</v>
      </c>
      <c r="B6" s="170" t="s">
        <v>193</v>
      </c>
      <c r="C6" s="171" t="s">
        <v>194</v>
      </c>
      <c r="D6" s="170" t="s">
        <v>21</v>
      </c>
      <c r="E6" s="172">
        <v>0.34166666666666662</v>
      </c>
      <c r="F6" s="173">
        <v>0.3430555555555555</v>
      </c>
      <c r="G6" s="173">
        <f t="shared" si="0"/>
        <v>1.388888888888884E-3</v>
      </c>
      <c r="H6" s="208">
        <v>131.15</v>
      </c>
      <c r="I6" s="173">
        <v>0.37083333333333335</v>
      </c>
      <c r="J6" s="173">
        <v>0.37638888888888888</v>
      </c>
      <c r="K6" s="173">
        <f t="shared" si="1"/>
        <v>5.5555555555555358E-3</v>
      </c>
      <c r="L6" s="175">
        <v>81.83</v>
      </c>
      <c r="M6" s="173">
        <v>0.38819444444444445</v>
      </c>
      <c r="N6" s="173">
        <v>0.39444444444444443</v>
      </c>
      <c r="O6" s="173">
        <f t="shared" si="2"/>
        <v>6.2499999999999778E-3</v>
      </c>
      <c r="P6" s="208">
        <v>196.78</v>
      </c>
      <c r="Q6" s="174">
        <v>0.41041666666666665</v>
      </c>
      <c r="R6" s="174">
        <v>0.41388888888888892</v>
      </c>
      <c r="S6" s="173">
        <f t="shared" si="3"/>
        <v>3.4722222222222654E-3</v>
      </c>
      <c r="T6" s="175">
        <v>149.55000000000001</v>
      </c>
      <c r="U6" s="174">
        <v>0.42222222222222222</v>
      </c>
      <c r="V6" s="173">
        <v>0.42499999999999999</v>
      </c>
      <c r="W6" s="173">
        <f t="shared" si="4"/>
        <v>2.7777777777777679E-3</v>
      </c>
      <c r="X6" s="175">
        <v>123.31</v>
      </c>
      <c r="Y6" s="173">
        <v>0.43402777777777773</v>
      </c>
      <c r="Z6" s="173">
        <v>0.44166666666666665</v>
      </c>
      <c r="AA6" s="173">
        <f t="shared" si="5"/>
        <v>7.6388888888889173E-3</v>
      </c>
      <c r="AB6" s="176">
        <v>5</v>
      </c>
      <c r="AC6" s="173">
        <v>0.44444444444444442</v>
      </c>
      <c r="AD6" s="173">
        <v>0.44513888888888892</v>
      </c>
      <c r="AE6" s="173">
        <f t="shared" si="6"/>
        <v>6.9444444444449749E-4</v>
      </c>
      <c r="AF6" s="177">
        <f t="shared" si="7"/>
        <v>2.7777777777777846E-2</v>
      </c>
      <c r="AG6" s="176">
        <f t="shared" si="8"/>
        <v>677.61999999999989</v>
      </c>
      <c r="AH6" s="177">
        <f t="shared" si="9"/>
        <v>7.9346604215456661E-3</v>
      </c>
      <c r="AI6" s="177">
        <f t="shared" si="10"/>
        <v>3.5712438199323515E-2</v>
      </c>
      <c r="AJ6" s="178"/>
    </row>
    <row r="7" spans="1:47" s="36" customFormat="1">
      <c r="A7" s="20" t="s">
        <v>18</v>
      </c>
      <c r="B7" s="181" t="s">
        <v>57</v>
      </c>
      <c r="C7" s="182" t="s">
        <v>58</v>
      </c>
      <c r="D7" s="206" t="s">
        <v>21</v>
      </c>
      <c r="E7" s="173">
        <v>0.32916666666666666</v>
      </c>
      <c r="F7" s="173">
        <v>0.33124999999999999</v>
      </c>
      <c r="G7" s="173">
        <f t="shared" si="0"/>
        <v>2.0833333333333259E-3</v>
      </c>
      <c r="H7" s="208">
        <v>146.41</v>
      </c>
      <c r="I7" s="173">
        <v>0.34861111111111115</v>
      </c>
      <c r="J7" s="173">
        <v>0.3527777777777778</v>
      </c>
      <c r="K7" s="173">
        <f t="shared" si="1"/>
        <v>4.1666666666666519E-3</v>
      </c>
      <c r="L7" s="175">
        <v>180</v>
      </c>
      <c r="M7" s="173">
        <v>0.36388888888888887</v>
      </c>
      <c r="N7" s="173">
        <v>0.36736111111111108</v>
      </c>
      <c r="O7" s="173">
        <f t="shared" si="2"/>
        <v>3.4722222222222099E-3</v>
      </c>
      <c r="P7" s="208">
        <v>180.97</v>
      </c>
      <c r="Q7" s="174">
        <v>0.38194444444444442</v>
      </c>
      <c r="R7" s="174">
        <v>0.38541666666666669</v>
      </c>
      <c r="S7" s="173">
        <f t="shared" si="3"/>
        <v>3.4722222222222654E-3</v>
      </c>
      <c r="T7" s="175">
        <v>180</v>
      </c>
      <c r="U7" s="174">
        <v>0.39861111111111108</v>
      </c>
      <c r="V7" s="173">
        <v>0.40208333333333335</v>
      </c>
      <c r="W7" s="173">
        <f t="shared" si="4"/>
        <v>3.4722222222222654E-3</v>
      </c>
      <c r="X7" s="175">
        <v>119.99</v>
      </c>
      <c r="Y7" s="173">
        <v>0.40972222222222227</v>
      </c>
      <c r="Z7" s="173">
        <v>0.42291666666666666</v>
      </c>
      <c r="AA7" s="173">
        <f t="shared" si="5"/>
        <v>1.3194444444444398E-2</v>
      </c>
      <c r="AB7" s="176">
        <v>5</v>
      </c>
      <c r="AC7" s="173">
        <v>0.42569444444444443</v>
      </c>
      <c r="AD7" s="173">
        <v>0.42638888888888887</v>
      </c>
      <c r="AE7" s="173">
        <f t="shared" si="6"/>
        <v>6.9444444444444198E-4</v>
      </c>
      <c r="AF7" s="177">
        <f t="shared" si="7"/>
        <v>3.0555555555555558E-2</v>
      </c>
      <c r="AG7" s="176">
        <f t="shared" si="8"/>
        <v>802.37</v>
      </c>
      <c r="AH7" s="177">
        <f t="shared" si="9"/>
        <v>9.3954332552693212E-3</v>
      </c>
      <c r="AI7" s="177">
        <f t="shared" si="10"/>
        <v>3.9950988810824879E-2</v>
      </c>
      <c r="AJ7" s="178"/>
    </row>
    <row r="8" spans="1:47" s="2" customFormat="1">
      <c r="A8" s="20" t="s">
        <v>18</v>
      </c>
      <c r="B8" s="183" t="s">
        <v>142</v>
      </c>
      <c r="C8" s="184" t="s">
        <v>143</v>
      </c>
      <c r="D8" s="186" t="s">
        <v>21</v>
      </c>
      <c r="E8" s="173">
        <v>0.32916666666666666</v>
      </c>
      <c r="F8" s="173">
        <v>0.33124999999999999</v>
      </c>
      <c r="G8" s="173">
        <f t="shared" si="0"/>
        <v>2.0833333333333259E-3</v>
      </c>
      <c r="H8" s="208">
        <v>113.95</v>
      </c>
      <c r="I8" s="173">
        <v>0.3444444444444445</v>
      </c>
      <c r="J8" s="173">
        <v>0.34930555555555554</v>
      </c>
      <c r="K8" s="173">
        <f t="shared" si="1"/>
        <v>4.8611111111110383E-3</v>
      </c>
      <c r="L8" s="175">
        <v>75.930000000000007</v>
      </c>
      <c r="M8" s="173">
        <v>0.35972222222222222</v>
      </c>
      <c r="N8" s="173">
        <v>0.36388888888888887</v>
      </c>
      <c r="O8" s="173">
        <f t="shared" si="2"/>
        <v>4.1666666666666519E-3</v>
      </c>
      <c r="P8" s="208">
        <v>167.73</v>
      </c>
      <c r="Q8" s="174">
        <v>0.37847222222222227</v>
      </c>
      <c r="R8" s="174">
        <v>0.38541666666666669</v>
      </c>
      <c r="S8" s="173">
        <f t="shared" si="3"/>
        <v>6.9444444444444198E-3</v>
      </c>
      <c r="T8" s="175">
        <v>135.11000000000001</v>
      </c>
      <c r="U8" s="174">
        <v>0.39374999999999999</v>
      </c>
      <c r="V8" s="173">
        <v>0.39652777777777781</v>
      </c>
      <c r="W8" s="173">
        <f t="shared" si="4"/>
        <v>2.7777777777778234E-3</v>
      </c>
      <c r="X8" s="175">
        <v>73.099999999999994</v>
      </c>
      <c r="Y8" s="173">
        <v>0.40416666666666662</v>
      </c>
      <c r="Z8" s="173">
        <v>0.41250000000000003</v>
      </c>
      <c r="AA8" s="173">
        <f t="shared" si="5"/>
        <v>8.3333333333334147E-3</v>
      </c>
      <c r="AB8" s="176"/>
      <c r="AC8" s="173">
        <v>0.4152777777777778</v>
      </c>
      <c r="AD8" s="173">
        <v>0.4152777777777778</v>
      </c>
      <c r="AE8" s="173">
        <f t="shared" si="6"/>
        <v>0</v>
      </c>
      <c r="AF8" s="177">
        <f t="shared" si="7"/>
        <v>2.9166666666666674E-2</v>
      </c>
      <c r="AG8" s="176">
        <f t="shared" si="8"/>
        <v>565.82000000000005</v>
      </c>
      <c r="AH8" s="177">
        <f t="shared" si="9"/>
        <v>6.6255269320843095E-3</v>
      </c>
      <c r="AI8" s="177">
        <f t="shared" si="10"/>
        <v>3.5792193598750986E-2</v>
      </c>
      <c r="AJ8" s="178"/>
    </row>
    <row r="9" spans="1:47" s="9" customFormat="1">
      <c r="A9" s="20" t="s">
        <v>18</v>
      </c>
      <c r="B9" s="183" t="s">
        <v>77</v>
      </c>
      <c r="C9" s="184" t="s">
        <v>78</v>
      </c>
      <c r="D9" s="186" t="s">
        <v>21</v>
      </c>
      <c r="E9" s="173">
        <v>0.32916666666666666</v>
      </c>
      <c r="F9" s="173">
        <v>0.33194444444444443</v>
      </c>
      <c r="G9" s="173">
        <f t="shared" si="0"/>
        <v>2.7777777777777679E-3</v>
      </c>
      <c r="H9" s="208">
        <v>130.41999999999999</v>
      </c>
      <c r="I9" s="173">
        <v>0.3430555555555555</v>
      </c>
      <c r="J9" s="173">
        <v>0.34861111111111115</v>
      </c>
      <c r="K9" s="173">
        <f t="shared" si="1"/>
        <v>5.5555555555556468E-3</v>
      </c>
      <c r="L9" s="175">
        <v>106.07</v>
      </c>
      <c r="M9" s="173">
        <v>0.3576388888888889</v>
      </c>
      <c r="N9" s="173">
        <v>0.36319444444444443</v>
      </c>
      <c r="O9" s="173">
        <f t="shared" si="2"/>
        <v>5.5555555555555358E-3</v>
      </c>
      <c r="P9" s="175">
        <v>199</v>
      </c>
      <c r="Q9" s="174">
        <v>0.3659722222222222</v>
      </c>
      <c r="R9" s="174">
        <v>0.38055555555555554</v>
      </c>
      <c r="S9" s="173">
        <f t="shared" si="3"/>
        <v>1.4583333333333337E-2</v>
      </c>
      <c r="T9" s="175">
        <v>180</v>
      </c>
      <c r="U9" s="174">
        <v>0.39027777777777778</v>
      </c>
      <c r="V9" s="173">
        <v>0.39374999999999999</v>
      </c>
      <c r="W9" s="173">
        <f t="shared" si="4"/>
        <v>3.4722222222222099E-3</v>
      </c>
      <c r="X9" s="175">
        <v>173.03</v>
      </c>
      <c r="Y9" s="173">
        <v>0.40277777777777773</v>
      </c>
      <c r="Z9" s="173">
        <v>0.41250000000000003</v>
      </c>
      <c r="AA9" s="173">
        <f t="shared" si="5"/>
        <v>9.7222222222222987E-3</v>
      </c>
      <c r="AB9" s="176"/>
      <c r="AC9" s="173">
        <v>0.4145833333333333</v>
      </c>
      <c r="AD9" s="173">
        <v>0.4152777777777778</v>
      </c>
      <c r="AE9" s="173">
        <f t="shared" si="6"/>
        <v>6.9444444444449749E-4</v>
      </c>
      <c r="AF9" s="177">
        <f t="shared" si="7"/>
        <v>4.2361111111111294E-2</v>
      </c>
      <c r="AG9" s="176">
        <f t="shared" si="8"/>
        <v>788.52</v>
      </c>
      <c r="AH9" s="177">
        <f t="shared" si="9"/>
        <v>9.2332552693208426E-3</v>
      </c>
      <c r="AI9" s="177">
        <f t="shared" si="10"/>
        <v>5.1594366380432133E-2</v>
      </c>
      <c r="AJ9" s="178"/>
    </row>
    <row r="10" spans="1:47">
      <c r="A10" s="20" t="s">
        <v>18</v>
      </c>
      <c r="B10" s="183" t="s">
        <v>79</v>
      </c>
      <c r="C10" s="184" t="s">
        <v>80</v>
      </c>
      <c r="D10" s="185" t="s">
        <v>21</v>
      </c>
      <c r="E10" s="174">
        <v>0.32708333333333334</v>
      </c>
      <c r="F10" s="174">
        <v>0.32847222222222222</v>
      </c>
      <c r="G10" s="173">
        <f t="shared" si="0"/>
        <v>1.388888888888884E-3</v>
      </c>
      <c r="H10" s="208">
        <v>180</v>
      </c>
      <c r="I10" s="173">
        <v>0.3354166666666667</v>
      </c>
      <c r="J10" s="173">
        <v>0.34027777777777773</v>
      </c>
      <c r="K10" s="173">
        <f t="shared" si="1"/>
        <v>4.8611111111110383E-3</v>
      </c>
      <c r="L10" s="175">
        <v>124.35</v>
      </c>
      <c r="M10" s="173">
        <v>0.35416666666666669</v>
      </c>
      <c r="N10" s="173">
        <v>0.35833333333333334</v>
      </c>
      <c r="O10" s="173">
        <f t="shared" si="2"/>
        <v>4.1666666666666519E-3</v>
      </c>
      <c r="P10" s="175">
        <v>199</v>
      </c>
      <c r="Q10" s="174">
        <v>0.3743055555555555</v>
      </c>
      <c r="R10" s="174">
        <v>0.3756944444444445</v>
      </c>
      <c r="S10" s="173">
        <f t="shared" si="3"/>
        <v>1.388888888888995E-3</v>
      </c>
      <c r="T10" s="175">
        <v>180</v>
      </c>
      <c r="U10" s="174">
        <v>0.38541666666666669</v>
      </c>
      <c r="V10" s="173">
        <v>0.38819444444444445</v>
      </c>
      <c r="W10" s="173">
        <f t="shared" si="4"/>
        <v>2.7777777777777679E-3</v>
      </c>
      <c r="X10" s="175">
        <v>175.01</v>
      </c>
      <c r="Y10" s="173">
        <v>0.39861111111111108</v>
      </c>
      <c r="Z10" s="173">
        <v>0.40486111111111112</v>
      </c>
      <c r="AA10" s="173">
        <f t="shared" si="5"/>
        <v>6.2500000000000333E-3</v>
      </c>
      <c r="AB10" s="176"/>
      <c r="AC10" s="173">
        <v>0.40972222222222227</v>
      </c>
      <c r="AD10" s="173">
        <v>0.41041666666666665</v>
      </c>
      <c r="AE10" s="173">
        <f t="shared" si="6"/>
        <v>6.9444444444438647E-4</v>
      </c>
      <c r="AF10" s="177">
        <f t="shared" si="7"/>
        <v>2.1527777777777757E-2</v>
      </c>
      <c r="AG10" s="176">
        <f t="shared" si="8"/>
        <v>858.36</v>
      </c>
      <c r="AH10" s="177">
        <f t="shared" si="9"/>
        <v>1.0051053864168618E-2</v>
      </c>
      <c r="AI10" s="177">
        <f t="shared" si="10"/>
        <v>3.1578831641946373E-2</v>
      </c>
      <c r="AJ10" s="178"/>
    </row>
    <row r="11" spans="1:47" s="8" customFormat="1">
      <c r="A11" s="48" t="s">
        <v>29</v>
      </c>
      <c r="B11" s="183" t="s">
        <v>59</v>
      </c>
      <c r="C11" s="184" t="s">
        <v>60</v>
      </c>
      <c r="D11" s="185" t="s">
        <v>21</v>
      </c>
      <c r="E11" s="174">
        <v>0.33819444444444446</v>
      </c>
      <c r="F11" s="174">
        <v>0.3430555555555555</v>
      </c>
      <c r="G11" s="173">
        <f t="shared" si="0"/>
        <v>4.8611111111110383E-3</v>
      </c>
      <c r="H11" s="208">
        <v>129.46</v>
      </c>
      <c r="I11" s="173">
        <v>0.37361111111111112</v>
      </c>
      <c r="J11" s="173">
        <v>0.38125000000000003</v>
      </c>
      <c r="K11" s="173">
        <f t="shared" si="1"/>
        <v>7.6388888888889173E-3</v>
      </c>
      <c r="L11" s="175">
        <v>76.55</v>
      </c>
      <c r="M11" s="173">
        <v>0.39444444444444443</v>
      </c>
      <c r="N11" s="173">
        <v>0.3972222222222222</v>
      </c>
      <c r="O11" s="173">
        <f t="shared" si="2"/>
        <v>2.7777777777777679E-3</v>
      </c>
      <c r="P11" s="208">
        <v>180.39</v>
      </c>
      <c r="Q11" s="174">
        <v>0.41666666666666669</v>
      </c>
      <c r="R11" s="174">
        <v>0.42222222222222222</v>
      </c>
      <c r="S11" s="173">
        <f t="shared" si="3"/>
        <v>5.5555555555555358E-3</v>
      </c>
      <c r="T11" s="175">
        <v>180</v>
      </c>
      <c r="U11" s="174">
        <v>0.43958333333333338</v>
      </c>
      <c r="V11" s="173">
        <v>0.44305555555555554</v>
      </c>
      <c r="W11" s="173">
        <f t="shared" si="4"/>
        <v>3.4722222222221544E-3</v>
      </c>
      <c r="X11" s="175">
        <v>127.99</v>
      </c>
      <c r="Y11" s="173">
        <v>0.45416666666666666</v>
      </c>
      <c r="Z11" s="173">
        <v>0.46458333333333335</v>
      </c>
      <c r="AA11" s="173">
        <f t="shared" si="5"/>
        <v>1.0416666666666685E-2</v>
      </c>
      <c r="AB11" s="176">
        <v>5</v>
      </c>
      <c r="AC11" s="173">
        <v>0.4680555555555555</v>
      </c>
      <c r="AD11" s="173">
        <v>0.4680555555555555</v>
      </c>
      <c r="AE11" s="173">
        <f t="shared" si="6"/>
        <v>0</v>
      </c>
      <c r="AF11" s="177">
        <f t="shared" si="7"/>
        <v>3.4722222222222099E-2</v>
      </c>
      <c r="AG11" s="176">
        <f t="shared" si="8"/>
        <v>689.39</v>
      </c>
      <c r="AH11" s="177">
        <f t="shared" si="9"/>
        <v>8.0724824355971891E-3</v>
      </c>
      <c r="AI11" s="177">
        <f t="shared" si="10"/>
        <v>4.2794704657819288E-2</v>
      </c>
      <c r="AJ11" s="178"/>
    </row>
    <row r="12" spans="1:47">
      <c r="A12" s="48" t="s">
        <v>29</v>
      </c>
      <c r="B12" s="183" t="s">
        <v>82</v>
      </c>
      <c r="C12" s="182" t="s">
        <v>83</v>
      </c>
      <c r="D12" s="186" t="s">
        <v>21</v>
      </c>
      <c r="E12" s="174">
        <v>0.33888888888888885</v>
      </c>
      <c r="F12" s="174">
        <v>0.34166666666666662</v>
      </c>
      <c r="G12" s="173">
        <f t="shared" si="0"/>
        <v>2.7777777777777679E-3</v>
      </c>
      <c r="H12" s="208">
        <v>141.94</v>
      </c>
      <c r="I12" s="173">
        <v>0.37708333333333338</v>
      </c>
      <c r="J12" s="173">
        <v>0.38125000000000003</v>
      </c>
      <c r="K12" s="173">
        <f t="shared" si="1"/>
        <v>4.1666666666666519E-3</v>
      </c>
      <c r="L12" s="175">
        <v>76.540000000000006</v>
      </c>
      <c r="M12" s="173">
        <v>0.38958333333333334</v>
      </c>
      <c r="N12" s="173">
        <v>0.39513888888888887</v>
      </c>
      <c r="O12" s="173">
        <f t="shared" si="2"/>
        <v>5.5555555555555358E-3</v>
      </c>
      <c r="P12" s="175">
        <v>199</v>
      </c>
      <c r="Q12" s="174">
        <v>0.41319444444444442</v>
      </c>
      <c r="R12" s="174">
        <v>0.41875000000000001</v>
      </c>
      <c r="S12" s="173">
        <f t="shared" si="3"/>
        <v>5.5555555555555913E-3</v>
      </c>
      <c r="T12" s="175">
        <v>166.68</v>
      </c>
      <c r="U12" s="174">
        <v>0.42430555555555555</v>
      </c>
      <c r="V12" s="173">
        <v>0.44305555555555554</v>
      </c>
      <c r="W12" s="173">
        <f t="shared" si="4"/>
        <v>1.8749999999999989E-2</v>
      </c>
      <c r="X12" s="175">
        <v>136.37</v>
      </c>
      <c r="Y12" s="173">
        <v>0.45416666666666666</v>
      </c>
      <c r="Z12" s="173">
        <v>0.46458333333333335</v>
      </c>
      <c r="AA12" s="173">
        <f t="shared" si="5"/>
        <v>1.0416666666666685E-2</v>
      </c>
      <c r="AB12" s="176">
        <v>5</v>
      </c>
      <c r="AC12" s="173">
        <v>0.4680555555555555</v>
      </c>
      <c r="AD12" s="173">
        <v>0.4680555555555555</v>
      </c>
      <c r="AE12" s="173">
        <f t="shared" si="6"/>
        <v>0</v>
      </c>
      <c r="AF12" s="177">
        <f t="shared" si="7"/>
        <v>4.7222222222222221E-2</v>
      </c>
      <c r="AG12" s="176">
        <f t="shared" si="8"/>
        <v>715.53000000000009</v>
      </c>
      <c r="AH12" s="177">
        <f t="shared" si="9"/>
        <v>8.3785714285714297E-3</v>
      </c>
      <c r="AI12" s="177">
        <f t="shared" si="10"/>
        <v>5.5600793650793651E-2</v>
      </c>
      <c r="AJ12" s="178"/>
    </row>
    <row r="13" spans="1:47" s="8" customFormat="1">
      <c r="A13" s="48" t="s">
        <v>29</v>
      </c>
      <c r="B13" s="183" t="s">
        <v>84</v>
      </c>
      <c r="C13" s="184" t="s">
        <v>85</v>
      </c>
      <c r="D13" s="185" t="s">
        <v>21</v>
      </c>
      <c r="E13" s="174">
        <v>0.33611111111111108</v>
      </c>
      <c r="F13" s="174">
        <v>0.33958333333333335</v>
      </c>
      <c r="G13" s="173">
        <f t="shared" si="0"/>
        <v>3.4722222222222654E-3</v>
      </c>
      <c r="H13" s="208">
        <v>169.44</v>
      </c>
      <c r="I13" s="173">
        <v>0.37083333333333335</v>
      </c>
      <c r="J13" s="173">
        <v>0.37847222222222227</v>
      </c>
      <c r="K13" s="173">
        <f t="shared" si="1"/>
        <v>7.6388888888889173E-3</v>
      </c>
      <c r="L13" s="175">
        <v>87</v>
      </c>
      <c r="M13" s="173">
        <v>0.39166666666666666</v>
      </c>
      <c r="N13" s="173">
        <v>0.39861111111111108</v>
      </c>
      <c r="O13" s="173">
        <f t="shared" si="2"/>
        <v>6.9444444444444198E-3</v>
      </c>
      <c r="P13" s="175">
        <v>199</v>
      </c>
      <c r="Q13" s="174">
        <v>0.42152777777777778</v>
      </c>
      <c r="R13" s="174">
        <v>0.43333333333333335</v>
      </c>
      <c r="S13" s="173">
        <f t="shared" si="3"/>
        <v>1.1805555555555569E-2</v>
      </c>
      <c r="T13" s="175">
        <v>180</v>
      </c>
      <c r="U13" s="174">
        <v>0.45624999999999999</v>
      </c>
      <c r="V13" s="173">
        <v>0.46458333333333335</v>
      </c>
      <c r="W13" s="173">
        <f t="shared" si="4"/>
        <v>8.3333333333333592E-3</v>
      </c>
      <c r="X13" s="175">
        <v>180</v>
      </c>
      <c r="Y13" s="173">
        <v>0.47569444444444442</v>
      </c>
      <c r="Z13" s="173">
        <v>0.48819444444444443</v>
      </c>
      <c r="AA13" s="173">
        <f t="shared" si="5"/>
        <v>1.2500000000000011E-2</v>
      </c>
      <c r="AB13" s="176">
        <v>5</v>
      </c>
      <c r="AC13" s="173">
        <v>0.4916666666666667</v>
      </c>
      <c r="AD13" s="173">
        <v>0.49305555555555558</v>
      </c>
      <c r="AE13" s="173">
        <f t="shared" si="6"/>
        <v>1.388888888888884E-3</v>
      </c>
      <c r="AF13" s="177">
        <f t="shared" si="7"/>
        <v>5.2083333333333426E-2</v>
      </c>
      <c r="AG13" s="176">
        <f t="shared" si="8"/>
        <v>810.44</v>
      </c>
      <c r="AH13" s="177">
        <f t="shared" si="9"/>
        <v>9.4899297423887592E-3</v>
      </c>
      <c r="AI13" s="177">
        <f t="shared" si="10"/>
        <v>6.1573263075722182E-2</v>
      </c>
      <c r="AJ13" s="187"/>
    </row>
    <row r="14" spans="1:47">
      <c r="A14" s="22" t="s">
        <v>36</v>
      </c>
      <c r="B14" s="183" t="s">
        <v>50</v>
      </c>
      <c r="C14" s="184" t="s">
        <v>51</v>
      </c>
      <c r="D14" s="185" t="s">
        <v>21</v>
      </c>
      <c r="E14" s="174">
        <v>0.34791666666666665</v>
      </c>
      <c r="F14" s="174">
        <v>0.35069444444444442</v>
      </c>
      <c r="G14" s="173">
        <f t="shared" si="0"/>
        <v>2.7777777777777679E-3</v>
      </c>
      <c r="H14" s="208">
        <v>129.1</v>
      </c>
      <c r="I14" s="173">
        <v>0.38750000000000001</v>
      </c>
      <c r="J14" s="173">
        <v>0.3923611111111111</v>
      </c>
      <c r="K14" s="173">
        <f t="shared" si="1"/>
        <v>4.8611111111110938E-3</v>
      </c>
      <c r="L14" s="175">
        <v>90.97</v>
      </c>
      <c r="M14" s="173">
        <v>0.41319444444444442</v>
      </c>
      <c r="N14" s="173">
        <v>0.41875000000000001</v>
      </c>
      <c r="O14" s="173">
        <f t="shared" si="2"/>
        <v>5.5555555555555913E-3</v>
      </c>
      <c r="P14" s="208">
        <v>197.52</v>
      </c>
      <c r="Q14" s="174">
        <v>0.44027777777777777</v>
      </c>
      <c r="R14" s="174">
        <v>0.4458333333333333</v>
      </c>
      <c r="S14" s="173">
        <f t="shared" si="3"/>
        <v>5.5555555555555358E-3</v>
      </c>
      <c r="T14" s="175">
        <v>178.87</v>
      </c>
      <c r="U14" s="174">
        <v>0.46458333333333335</v>
      </c>
      <c r="V14" s="173">
        <v>0.46875</v>
      </c>
      <c r="W14" s="173">
        <f t="shared" si="4"/>
        <v>4.1666666666666519E-3</v>
      </c>
      <c r="X14" s="175">
        <v>104.52</v>
      </c>
      <c r="Y14" s="173">
        <v>0.47847222222222219</v>
      </c>
      <c r="Z14" s="173">
        <v>0.48680555555555555</v>
      </c>
      <c r="AA14" s="173">
        <f t="shared" si="5"/>
        <v>8.3333333333333592E-3</v>
      </c>
      <c r="AB14" s="176">
        <v>5</v>
      </c>
      <c r="AC14" s="173">
        <v>0.4916666666666667</v>
      </c>
      <c r="AD14" s="173">
        <v>0.49305555555555558</v>
      </c>
      <c r="AE14" s="173">
        <f t="shared" si="6"/>
        <v>1.388888888888884E-3</v>
      </c>
      <c r="AF14" s="177">
        <f t="shared" si="7"/>
        <v>3.2638888888888884E-2</v>
      </c>
      <c r="AG14" s="176">
        <f t="shared" si="8"/>
        <v>695.98</v>
      </c>
      <c r="AH14" s="177">
        <f t="shared" si="9"/>
        <v>8.1496487119437945E-3</v>
      </c>
      <c r="AI14" s="177">
        <f t="shared" si="10"/>
        <v>4.0788537600832675E-2</v>
      </c>
      <c r="AJ14" s="187"/>
    </row>
    <row r="15" spans="1:47" s="8" customFormat="1">
      <c r="A15" s="22" t="s">
        <v>36</v>
      </c>
      <c r="B15" s="183" t="s">
        <v>86</v>
      </c>
      <c r="C15" s="184" t="s">
        <v>87</v>
      </c>
      <c r="D15" s="185" t="s">
        <v>21</v>
      </c>
      <c r="E15" s="174">
        <v>0.34652777777777777</v>
      </c>
      <c r="F15" s="174">
        <v>0.34791666666666665</v>
      </c>
      <c r="G15" s="173">
        <f t="shared" si="0"/>
        <v>1.388888888888884E-3</v>
      </c>
      <c r="H15" s="208">
        <v>157.19</v>
      </c>
      <c r="I15" s="173">
        <v>0.38541666666666669</v>
      </c>
      <c r="J15" s="173">
        <v>0.39027777777777778</v>
      </c>
      <c r="K15" s="173">
        <f t="shared" si="1"/>
        <v>4.8611111111110938E-3</v>
      </c>
      <c r="L15" s="175">
        <v>126.31</v>
      </c>
      <c r="M15" s="173">
        <v>0.40277777777777773</v>
      </c>
      <c r="N15" s="173">
        <v>0.41041666666666665</v>
      </c>
      <c r="O15" s="173">
        <f t="shared" si="2"/>
        <v>7.6388888888889173E-3</v>
      </c>
      <c r="P15" s="175">
        <v>199</v>
      </c>
      <c r="Q15" s="174">
        <v>0.43194444444444446</v>
      </c>
      <c r="R15" s="174">
        <v>0.43888888888888888</v>
      </c>
      <c r="S15" s="173">
        <f t="shared" si="3"/>
        <v>6.9444444444444198E-3</v>
      </c>
      <c r="T15" s="175">
        <v>180</v>
      </c>
      <c r="U15" s="174">
        <v>0.4513888888888889</v>
      </c>
      <c r="V15" s="173">
        <v>0.45624999999999999</v>
      </c>
      <c r="W15" s="173">
        <f t="shared" si="4"/>
        <v>4.8611111111110938E-3</v>
      </c>
      <c r="X15" s="175">
        <v>129.27000000000001</v>
      </c>
      <c r="Y15" s="173">
        <v>0.46388888888888885</v>
      </c>
      <c r="Z15" s="173">
        <v>0.47569444444444442</v>
      </c>
      <c r="AA15" s="173">
        <f t="shared" si="5"/>
        <v>1.1805555555555569E-2</v>
      </c>
      <c r="AB15" s="176">
        <v>5</v>
      </c>
      <c r="AC15" s="173">
        <v>0.4777777777777778</v>
      </c>
      <c r="AD15" s="173">
        <v>0.47847222222222219</v>
      </c>
      <c r="AE15" s="173">
        <f t="shared" si="6"/>
        <v>6.9444444444438647E-4</v>
      </c>
      <c r="AF15" s="177">
        <f t="shared" si="7"/>
        <v>3.8194444444444364E-2</v>
      </c>
      <c r="AG15" s="176">
        <f t="shared" si="8"/>
        <v>786.77</v>
      </c>
      <c r="AH15" s="177">
        <f t="shared" si="9"/>
        <v>9.2127634660421551E-3</v>
      </c>
      <c r="AI15" s="177">
        <f t="shared" si="10"/>
        <v>4.7407207910486519E-2</v>
      </c>
      <c r="AJ15" s="187"/>
    </row>
    <row r="16" spans="1:47">
      <c r="A16" s="23" t="s">
        <v>41</v>
      </c>
      <c r="B16" s="183" t="s">
        <v>52</v>
      </c>
      <c r="C16" s="184" t="s">
        <v>53</v>
      </c>
      <c r="D16" s="205" t="s">
        <v>21</v>
      </c>
      <c r="E16" s="174">
        <v>0.35972222222222222</v>
      </c>
      <c r="F16" s="174">
        <v>0.36249999999999999</v>
      </c>
      <c r="G16" s="173">
        <f t="shared" si="0"/>
        <v>2.7777777777777679E-3</v>
      </c>
      <c r="H16" s="208">
        <v>118.54</v>
      </c>
      <c r="I16" s="173">
        <v>0.39374999999999999</v>
      </c>
      <c r="J16" s="173">
        <v>0.39930555555555558</v>
      </c>
      <c r="K16" s="173">
        <f t="shared" si="1"/>
        <v>5.5555555555555913E-3</v>
      </c>
      <c r="L16" s="175">
        <v>88.54</v>
      </c>
      <c r="M16" s="173">
        <v>0.40763888888888888</v>
      </c>
      <c r="N16" s="173">
        <v>0.41250000000000003</v>
      </c>
      <c r="O16" s="173">
        <f t="shared" si="2"/>
        <v>4.8611111111111494E-3</v>
      </c>
      <c r="P16" s="208">
        <v>179.31</v>
      </c>
      <c r="Q16" s="174">
        <v>0.4375</v>
      </c>
      <c r="R16" s="174">
        <v>0.44305555555555554</v>
      </c>
      <c r="S16" s="173">
        <f t="shared" si="3"/>
        <v>5.5555555555555358E-3</v>
      </c>
      <c r="T16" s="175">
        <v>180</v>
      </c>
      <c r="U16" s="174">
        <v>0.4604166666666667</v>
      </c>
      <c r="V16" s="173">
        <v>0.46527777777777773</v>
      </c>
      <c r="W16" s="173">
        <f t="shared" si="4"/>
        <v>4.8611111111110383E-3</v>
      </c>
      <c r="X16" s="175">
        <v>94.61</v>
      </c>
      <c r="Y16" s="173">
        <v>0.47500000000000003</v>
      </c>
      <c r="Z16" s="173">
        <v>0.48333333333333334</v>
      </c>
      <c r="AA16" s="173">
        <f t="shared" si="5"/>
        <v>8.3333333333333037E-3</v>
      </c>
      <c r="AB16" s="176">
        <v>5</v>
      </c>
      <c r="AC16" s="173">
        <v>0.48472222222222222</v>
      </c>
      <c r="AD16" s="173">
        <v>0.48541666666666666</v>
      </c>
      <c r="AE16" s="173">
        <f t="shared" si="6"/>
        <v>6.9444444444444198E-4</v>
      </c>
      <c r="AF16" s="177">
        <f t="shared" si="7"/>
        <v>3.2638888888888828E-2</v>
      </c>
      <c r="AG16" s="176">
        <f t="shared" si="8"/>
        <v>656</v>
      </c>
      <c r="AH16" s="177">
        <f t="shared" si="9"/>
        <v>7.6814988290398126E-3</v>
      </c>
      <c r="AI16" s="177">
        <f t="shared" si="10"/>
        <v>4.0320387717928639E-2</v>
      </c>
      <c r="AJ16" s="187"/>
    </row>
    <row r="17" spans="1:40" s="8" customFormat="1" ht="20.55" customHeight="1">
      <c r="A17" s="23" t="s">
        <v>41</v>
      </c>
      <c r="B17" s="183" t="s">
        <v>88</v>
      </c>
      <c r="C17" s="182" t="s">
        <v>89</v>
      </c>
      <c r="D17" s="188" t="s">
        <v>21</v>
      </c>
      <c r="E17" s="174">
        <v>0.38055555555555554</v>
      </c>
      <c r="F17" s="174">
        <v>0.38263888888888892</v>
      </c>
      <c r="G17" s="173">
        <f t="shared" si="0"/>
        <v>2.0833333333333814E-3</v>
      </c>
      <c r="H17" s="208">
        <v>180</v>
      </c>
      <c r="I17" s="173">
        <v>0.40625</v>
      </c>
      <c r="J17" s="173">
        <v>0.41111111111111115</v>
      </c>
      <c r="K17" s="173">
        <f t="shared" si="1"/>
        <v>4.8611111111111494E-3</v>
      </c>
      <c r="L17" s="175">
        <v>123.85</v>
      </c>
      <c r="M17" s="173">
        <v>0.4284722222222222</v>
      </c>
      <c r="N17" s="173">
        <v>0.43402777777777773</v>
      </c>
      <c r="O17" s="173">
        <f t="shared" si="2"/>
        <v>5.5555555555555358E-3</v>
      </c>
      <c r="P17" s="175">
        <v>199</v>
      </c>
      <c r="Q17" s="174">
        <v>0.45902777777777781</v>
      </c>
      <c r="R17" s="174">
        <v>0.46597222222222223</v>
      </c>
      <c r="S17" s="173">
        <f t="shared" si="3"/>
        <v>6.9444444444444198E-3</v>
      </c>
      <c r="T17" s="175">
        <v>180</v>
      </c>
      <c r="U17" s="174">
        <v>0.48749999999999999</v>
      </c>
      <c r="V17" s="173">
        <v>0.4909722222222222</v>
      </c>
      <c r="W17" s="173">
        <f t="shared" si="4"/>
        <v>3.4722222222222099E-3</v>
      </c>
      <c r="X17" s="175">
        <v>118.97</v>
      </c>
      <c r="Y17" s="173">
        <v>0.49722222222222223</v>
      </c>
      <c r="Z17" s="173">
        <v>0.50972222222222219</v>
      </c>
      <c r="AA17" s="173">
        <f t="shared" si="5"/>
        <v>1.2499999999999956E-2</v>
      </c>
      <c r="AB17" s="176"/>
      <c r="AC17" s="173">
        <v>0.51250000000000007</v>
      </c>
      <c r="AD17" s="173">
        <v>0.5131944444444444</v>
      </c>
      <c r="AE17" s="173">
        <f t="shared" si="6"/>
        <v>6.9444444444433095E-4</v>
      </c>
      <c r="AF17" s="177">
        <f t="shared" si="7"/>
        <v>3.6111111111110983E-2</v>
      </c>
      <c r="AG17" s="176">
        <f t="shared" si="8"/>
        <v>801.82</v>
      </c>
      <c r="AH17" s="177">
        <f t="shared" si="9"/>
        <v>9.3889929742388759E-3</v>
      </c>
      <c r="AI17" s="177">
        <f t="shared" si="10"/>
        <v>4.5500104085349859E-2</v>
      </c>
      <c r="AJ17" s="187"/>
    </row>
    <row r="18" spans="1:40" s="8" customFormat="1">
      <c r="A18" s="22" t="s">
        <v>46</v>
      </c>
      <c r="B18" s="183" t="s">
        <v>136</v>
      </c>
      <c r="C18" s="184" t="s">
        <v>137</v>
      </c>
      <c r="D18" s="189" t="s">
        <v>21</v>
      </c>
      <c r="E18" s="174">
        <v>0.37986111111111115</v>
      </c>
      <c r="F18" s="174">
        <v>0.38263888888888892</v>
      </c>
      <c r="G18" s="173">
        <f t="shared" si="0"/>
        <v>2.7777777777777679E-3</v>
      </c>
      <c r="H18" s="208">
        <v>180</v>
      </c>
      <c r="I18" s="173">
        <v>0.3972222222222222</v>
      </c>
      <c r="J18" s="173">
        <v>0.40416666666666662</v>
      </c>
      <c r="K18" s="173">
        <f t="shared" si="1"/>
        <v>6.9444444444444198E-3</v>
      </c>
      <c r="L18" s="175">
        <v>136.21</v>
      </c>
      <c r="M18" s="173">
        <v>0.41805555555555557</v>
      </c>
      <c r="N18" s="173">
        <v>0.42569444444444443</v>
      </c>
      <c r="O18" s="173">
        <f t="shared" si="2"/>
        <v>7.6388888888888618E-3</v>
      </c>
      <c r="P18" s="175">
        <v>199</v>
      </c>
      <c r="Q18" s="174">
        <v>0.45069444444444445</v>
      </c>
      <c r="R18" s="174">
        <v>0.45694444444444443</v>
      </c>
      <c r="S18" s="173">
        <f t="shared" si="3"/>
        <v>6.2499999999999778E-3</v>
      </c>
      <c r="T18" s="175">
        <v>180</v>
      </c>
      <c r="U18" s="174">
        <v>0.4777777777777778</v>
      </c>
      <c r="V18" s="173">
        <v>0.48194444444444445</v>
      </c>
      <c r="W18" s="173">
        <f t="shared" si="4"/>
        <v>4.1666666666666519E-3</v>
      </c>
      <c r="X18" s="175">
        <v>90.64</v>
      </c>
      <c r="Y18" s="173">
        <v>0.48958333333333331</v>
      </c>
      <c r="Z18" s="173">
        <v>0.50694444444444442</v>
      </c>
      <c r="AA18" s="173">
        <f t="shared" si="5"/>
        <v>1.7361111111111105E-2</v>
      </c>
      <c r="AB18" s="176"/>
      <c r="AC18" s="173">
        <v>0.50902777777777775</v>
      </c>
      <c r="AD18" s="173">
        <v>0.50972222222222219</v>
      </c>
      <c r="AE18" s="173">
        <f t="shared" si="6"/>
        <v>6.9444444444444198E-4</v>
      </c>
      <c r="AF18" s="177">
        <f t="shared" si="7"/>
        <v>4.5833333333333226E-2</v>
      </c>
      <c r="AG18" s="176">
        <f t="shared" si="8"/>
        <v>785.85</v>
      </c>
      <c r="AH18" s="177">
        <f t="shared" si="9"/>
        <v>9.2019906323185015E-3</v>
      </c>
      <c r="AI18" s="177">
        <f t="shared" si="10"/>
        <v>5.5035323965651729E-2</v>
      </c>
      <c r="AJ18" s="187"/>
    </row>
    <row r="19" spans="1:40" s="8" customFormat="1" ht="20.55" customHeight="1">
      <c r="A19" s="21" t="s">
        <v>49</v>
      </c>
      <c r="B19" s="183" t="s">
        <v>44</v>
      </c>
      <c r="C19" s="192" t="s">
        <v>45</v>
      </c>
      <c r="D19" s="193" t="s">
        <v>21</v>
      </c>
      <c r="E19" s="174">
        <v>0.38055555555555554</v>
      </c>
      <c r="F19" s="174">
        <v>0.38263888888888892</v>
      </c>
      <c r="G19" s="173">
        <f t="shared" si="0"/>
        <v>2.0833333333333814E-3</v>
      </c>
      <c r="H19" s="208">
        <v>113</v>
      </c>
      <c r="I19" s="173">
        <v>0.39999999999999997</v>
      </c>
      <c r="J19" s="173">
        <v>0.40416666666666662</v>
      </c>
      <c r="K19" s="173">
        <f t="shared" si="1"/>
        <v>4.1666666666666519E-3</v>
      </c>
      <c r="L19" s="175">
        <v>69.099999999999994</v>
      </c>
      <c r="M19" s="173">
        <v>0.4201388888888889</v>
      </c>
      <c r="N19" s="173">
        <v>0.42430555555555555</v>
      </c>
      <c r="O19" s="173">
        <f t="shared" si="2"/>
        <v>4.1666666666666519E-3</v>
      </c>
      <c r="P19" s="208">
        <v>181.27</v>
      </c>
      <c r="Q19" s="174">
        <v>0.44722222222222219</v>
      </c>
      <c r="R19" s="174">
        <v>0.45277777777777778</v>
      </c>
      <c r="S19" s="173">
        <f t="shared" si="3"/>
        <v>5.5555555555555913E-3</v>
      </c>
      <c r="T19" s="175">
        <v>172.73</v>
      </c>
      <c r="U19" s="174">
        <v>0.47291666666666665</v>
      </c>
      <c r="V19" s="173">
        <v>0.4770833333333333</v>
      </c>
      <c r="W19" s="173">
        <f t="shared" si="4"/>
        <v>4.1666666666666519E-3</v>
      </c>
      <c r="X19" s="175">
        <v>72.34</v>
      </c>
      <c r="Y19" s="173">
        <v>0.48680555555555555</v>
      </c>
      <c r="Z19" s="173">
        <v>0.49583333333333335</v>
      </c>
      <c r="AA19" s="173">
        <f t="shared" si="5"/>
        <v>9.0277777777778012E-3</v>
      </c>
      <c r="AB19" s="176"/>
      <c r="AC19" s="173">
        <v>0.4993055555555555</v>
      </c>
      <c r="AD19" s="173">
        <v>0.5</v>
      </c>
      <c r="AE19" s="173">
        <f t="shared" si="6"/>
        <v>6.9444444444449749E-4</v>
      </c>
      <c r="AF19" s="177">
        <f t="shared" si="7"/>
        <v>2.9861111111111227E-2</v>
      </c>
      <c r="AG19" s="176">
        <f t="shared" si="8"/>
        <v>608.44000000000005</v>
      </c>
      <c r="AH19" s="177">
        <f t="shared" si="9"/>
        <v>7.1245901639344269E-3</v>
      </c>
      <c r="AI19" s="177">
        <f t="shared" si="10"/>
        <v>3.6985701275045656E-2</v>
      </c>
      <c r="AJ19" s="187"/>
    </row>
    <row r="20" spans="1:40" s="8" customFormat="1" ht="20.55" customHeight="1">
      <c r="A20" s="21" t="s">
        <v>49</v>
      </c>
      <c r="B20" s="183" t="s">
        <v>42</v>
      </c>
      <c r="C20" s="192" t="s">
        <v>43</v>
      </c>
      <c r="D20" s="193" t="s">
        <v>21</v>
      </c>
      <c r="E20" s="174">
        <v>0.38125000000000003</v>
      </c>
      <c r="F20" s="174">
        <v>0.38263888888888892</v>
      </c>
      <c r="G20" s="173">
        <f t="shared" si="0"/>
        <v>1.388888888888884E-3</v>
      </c>
      <c r="H20" s="208">
        <v>162.07</v>
      </c>
      <c r="I20" s="173">
        <v>0.40416666666666662</v>
      </c>
      <c r="J20" s="173">
        <v>0.40763888888888888</v>
      </c>
      <c r="K20" s="173">
        <f t="shared" si="1"/>
        <v>3.4722222222222654E-3</v>
      </c>
      <c r="L20" s="175">
        <v>80</v>
      </c>
      <c r="M20" s="173">
        <v>0.42291666666666666</v>
      </c>
      <c r="N20" s="173">
        <v>0.42638888888888887</v>
      </c>
      <c r="O20" s="173">
        <f t="shared" si="2"/>
        <v>3.4722222222222099E-3</v>
      </c>
      <c r="P20" s="208">
        <v>166.53</v>
      </c>
      <c r="Q20" s="174">
        <v>0.4548611111111111</v>
      </c>
      <c r="R20" s="174">
        <v>0.45833333333333331</v>
      </c>
      <c r="S20" s="173">
        <f t="shared" si="3"/>
        <v>3.4722222222222099E-3</v>
      </c>
      <c r="T20" s="175">
        <v>180</v>
      </c>
      <c r="U20" s="174">
        <v>0.4826388888888889</v>
      </c>
      <c r="V20" s="173">
        <v>0.48541666666666666</v>
      </c>
      <c r="W20" s="173">
        <f t="shared" si="4"/>
        <v>2.7777777777777679E-3</v>
      </c>
      <c r="X20" s="175">
        <v>96.42</v>
      </c>
      <c r="Y20" s="173">
        <v>0.49305555555555558</v>
      </c>
      <c r="Z20" s="173">
        <v>0.4993055555555555</v>
      </c>
      <c r="AA20" s="173">
        <f t="shared" si="5"/>
        <v>6.2499999999999223E-3</v>
      </c>
      <c r="AB20" s="176"/>
      <c r="AC20" s="173">
        <v>0.50277777777777777</v>
      </c>
      <c r="AD20" s="173">
        <v>0.50347222222222221</v>
      </c>
      <c r="AE20" s="173">
        <f t="shared" si="6"/>
        <v>6.9444444444444198E-4</v>
      </c>
      <c r="AF20" s="177">
        <f t="shared" si="7"/>
        <v>2.1527777777777701E-2</v>
      </c>
      <c r="AG20" s="176">
        <f t="shared" si="8"/>
        <v>685.02</v>
      </c>
      <c r="AH20" s="177">
        <f t="shared" si="9"/>
        <v>8.0213114754098362E-3</v>
      </c>
      <c r="AI20" s="177">
        <f t="shared" si="10"/>
        <v>2.9549089253187538E-2</v>
      </c>
      <c r="AJ20" s="187"/>
    </row>
    <row r="21" spans="1:40" s="8" customFormat="1" ht="20.55" customHeight="1">
      <c r="A21" s="20" t="s">
        <v>56</v>
      </c>
      <c r="B21" s="183" t="s">
        <v>72</v>
      </c>
      <c r="C21" s="192" t="s">
        <v>73</v>
      </c>
      <c r="D21" s="193" t="s">
        <v>21</v>
      </c>
      <c r="E21" s="174">
        <v>0.40902777777777777</v>
      </c>
      <c r="F21" s="174">
        <v>0.41180555555555554</v>
      </c>
      <c r="G21" s="173">
        <f t="shared" si="0"/>
        <v>2.7777777777777679E-3</v>
      </c>
      <c r="H21" s="208">
        <v>180</v>
      </c>
      <c r="I21" s="173">
        <v>0.43194444444444446</v>
      </c>
      <c r="J21" s="173">
        <v>0.43611111111111112</v>
      </c>
      <c r="K21" s="173">
        <f t="shared" si="1"/>
        <v>4.1666666666666519E-3</v>
      </c>
      <c r="L21" s="175">
        <v>180</v>
      </c>
      <c r="M21" s="173">
        <v>0.45694444444444443</v>
      </c>
      <c r="N21" s="173">
        <v>0.46111111111111108</v>
      </c>
      <c r="O21" s="173">
        <f t="shared" si="2"/>
        <v>4.1666666666666519E-3</v>
      </c>
      <c r="P21" s="175">
        <v>199</v>
      </c>
      <c r="Q21" s="174">
        <v>0.49305555555555558</v>
      </c>
      <c r="R21" s="174">
        <v>0.49722222222222223</v>
      </c>
      <c r="S21" s="173">
        <f t="shared" si="3"/>
        <v>4.1666666666666519E-3</v>
      </c>
      <c r="T21" s="175">
        <v>180</v>
      </c>
      <c r="U21" s="174">
        <v>0.52361111111111114</v>
      </c>
      <c r="V21" s="173">
        <v>0.52569444444444446</v>
      </c>
      <c r="W21" s="173">
        <f t="shared" si="4"/>
        <v>2.0833333333333259E-3</v>
      </c>
      <c r="X21" s="175">
        <v>152.94999999999999</v>
      </c>
      <c r="Y21" s="173">
        <v>0.52986111111111112</v>
      </c>
      <c r="Z21" s="173">
        <v>0.53680555555555554</v>
      </c>
      <c r="AA21" s="173">
        <f t="shared" si="5"/>
        <v>6.9444444444444198E-3</v>
      </c>
      <c r="AB21" s="176"/>
      <c r="AC21" s="173">
        <v>0.5395833333333333</v>
      </c>
      <c r="AD21" s="173">
        <v>0.5395833333333333</v>
      </c>
      <c r="AE21" s="173">
        <f t="shared" si="6"/>
        <v>0</v>
      </c>
      <c r="AF21" s="177">
        <f t="shared" si="7"/>
        <v>2.4305555555555469E-2</v>
      </c>
      <c r="AG21" s="176">
        <f t="shared" si="8"/>
        <v>891.95</v>
      </c>
      <c r="AH21" s="177">
        <f t="shared" si="9"/>
        <v>1.0444379391100702E-2</v>
      </c>
      <c r="AI21" s="177">
        <f t="shared" si="10"/>
        <v>3.4749934946656173E-2</v>
      </c>
      <c r="AJ21" s="187"/>
    </row>
    <row r="22" spans="1:40" ht="20.55" customHeight="1">
      <c r="A22" s="20" t="s">
        <v>56</v>
      </c>
      <c r="B22" s="183" t="s">
        <v>64</v>
      </c>
      <c r="C22" s="192" t="s">
        <v>65</v>
      </c>
      <c r="D22" s="193" t="s">
        <v>21</v>
      </c>
      <c r="E22" s="174">
        <v>0.40763888888888888</v>
      </c>
      <c r="F22" s="174">
        <v>0.40972222222222227</v>
      </c>
      <c r="G22" s="173">
        <f t="shared" si="0"/>
        <v>2.0833333333333814E-3</v>
      </c>
      <c r="H22" s="208">
        <v>110.12</v>
      </c>
      <c r="I22" s="173">
        <v>0.42777777777777781</v>
      </c>
      <c r="J22" s="173">
        <v>0.43194444444444446</v>
      </c>
      <c r="K22" s="173">
        <f t="shared" si="1"/>
        <v>4.1666666666666519E-3</v>
      </c>
      <c r="L22" s="175">
        <v>64.510000000000005</v>
      </c>
      <c r="M22" s="173">
        <v>0.44930555555555557</v>
      </c>
      <c r="N22" s="173">
        <v>0.45555555555555555</v>
      </c>
      <c r="O22" s="173">
        <f t="shared" si="2"/>
        <v>6.2499999999999778E-3</v>
      </c>
      <c r="P22" s="208">
        <v>160.09</v>
      </c>
      <c r="Q22" s="174">
        <v>0.48472222222222222</v>
      </c>
      <c r="R22" s="174">
        <v>0.48958333333333331</v>
      </c>
      <c r="S22" s="173">
        <f t="shared" si="3"/>
        <v>4.8611111111110938E-3</v>
      </c>
      <c r="T22" s="175">
        <v>120.27</v>
      </c>
      <c r="U22" s="174">
        <v>0.5180555555555556</v>
      </c>
      <c r="V22" s="173">
        <v>0.52013888888888882</v>
      </c>
      <c r="W22" s="173">
        <f t="shared" si="4"/>
        <v>2.0833333333332149E-3</v>
      </c>
      <c r="X22" s="175">
        <v>89.28</v>
      </c>
      <c r="Y22" s="173">
        <v>0.52500000000000002</v>
      </c>
      <c r="Z22" s="173">
        <v>0.53194444444444444</v>
      </c>
      <c r="AA22" s="173">
        <f t="shared" si="5"/>
        <v>6.9444444444444198E-3</v>
      </c>
      <c r="AB22" s="176">
        <v>5</v>
      </c>
      <c r="AC22" s="173">
        <v>0.53541666666666665</v>
      </c>
      <c r="AD22" s="173">
        <v>0.53611111111111109</v>
      </c>
      <c r="AE22" s="173">
        <f t="shared" si="6"/>
        <v>6.9444444444444198E-4</v>
      </c>
      <c r="AF22" s="177">
        <f t="shared" si="7"/>
        <v>2.7083333333333182E-2</v>
      </c>
      <c r="AG22" s="176">
        <f t="shared" si="8"/>
        <v>539.27</v>
      </c>
      <c r="AH22" s="177">
        <f t="shared" si="9"/>
        <v>6.3146370023419197E-3</v>
      </c>
      <c r="AI22" s="177">
        <f t="shared" si="10"/>
        <v>3.3397970335675098E-2</v>
      </c>
      <c r="AJ22" s="187"/>
    </row>
    <row r="23" spans="1:40" s="8" customFormat="1" ht="20.55" customHeight="1">
      <c r="A23" s="21" t="s">
        <v>63</v>
      </c>
      <c r="B23" s="183" t="s">
        <v>97</v>
      </c>
      <c r="C23" s="190" t="s">
        <v>98</v>
      </c>
      <c r="D23" s="191" t="s">
        <v>21</v>
      </c>
      <c r="E23" s="174">
        <v>0.4145833333333333</v>
      </c>
      <c r="F23" s="174">
        <v>0.41736111111111113</v>
      </c>
      <c r="G23" s="173">
        <f t="shared" si="0"/>
        <v>2.7777777777778234E-3</v>
      </c>
      <c r="H23" s="208">
        <v>161.38</v>
      </c>
      <c r="I23" s="173">
        <v>0.44444444444444442</v>
      </c>
      <c r="J23" s="173">
        <v>0.45208333333333334</v>
      </c>
      <c r="K23" s="173">
        <f t="shared" si="1"/>
        <v>7.6388888888889173E-3</v>
      </c>
      <c r="L23" s="175">
        <v>129.69999999999999</v>
      </c>
      <c r="M23" s="173">
        <v>0.46388888888888885</v>
      </c>
      <c r="N23" s="173">
        <v>0.47291666666666665</v>
      </c>
      <c r="O23" s="173">
        <f t="shared" si="2"/>
        <v>9.0277777777778012E-3</v>
      </c>
      <c r="P23" s="175">
        <v>199</v>
      </c>
      <c r="Q23" s="174">
        <v>0.50347222222222221</v>
      </c>
      <c r="R23" s="174">
        <v>0.51388888888888895</v>
      </c>
      <c r="S23" s="173">
        <f t="shared" si="3"/>
        <v>1.0416666666666741E-2</v>
      </c>
      <c r="T23" s="175">
        <v>180</v>
      </c>
      <c r="U23" s="174">
        <v>0.54027777777777775</v>
      </c>
      <c r="V23" s="173">
        <v>0.5444444444444444</v>
      </c>
      <c r="W23" s="173">
        <f t="shared" si="4"/>
        <v>4.1666666666666519E-3</v>
      </c>
      <c r="X23" s="175">
        <v>135.22</v>
      </c>
      <c r="Y23" s="173">
        <v>0.55902777777777779</v>
      </c>
      <c r="Z23" s="173">
        <v>0.5708333333333333</v>
      </c>
      <c r="AA23" s="173">
        <f t="shared" si="5"/>
        <v>1.1805555555555514E-2</v>
      </c>
      <c r="AB23" s="176"/>
      <c r="AC23" s="173">
        <v>0.57500000000000007</v>
      </c>
      <c r="AD23" s="173">
        <v>0.5756944444444444</v>
      </c>
      <c r="AE23" s="173">
        <f t="shared" si="6"/>
        <v>6.9444444444433095E-4</v>
      </c>
      <c r="AF23" s="177">
        <f t="shared" si="7"/>
        <v>4.6527777777777779E-2</v>
      </c>
      <c r="AG23" s="176">
        <f t="shared" si="8"/>
        <v>805.3</v>
      </c>
      <c r="AH23" s="177">
        <f t="shared" si="9"/>
        <v>9.4297423887587817E-3</v>
      </c>
      <c r="AI23" s="177">
        <f t="shared" si="10"/>
        <v>5.5957520166536559E-2</v>
      </c>
      <c r="AJ23" s="187"/>
      <c r="AK23" s="127"/>
      <c r="AL23" s="127"/>
      <c r="AM23" s="127"/>
      <c r="AN23" s="127"/>
    </row>
    <row r="24" spans="1:40" ht="20.55" customHeight="1">
      <c r="A24" s="21" t="s">
        <v>63</v>
      </c>
      <c r="B24" s="183" t="s">
        <v>93</v>
      </c>
      <c r="C24" s="192" t="s">
        <v>94</v>
      </c>
      <c r="D24" s="193" t="s">
        <v>21</v>
      </c>
      <c r="E24" s="174">
        <v>0.41388888888888892</v>
      </c>
      <c r="F24" s="174">
        <v>0.41736111111111113</v>
      </c>
      <c r="G24" s="173">
        <f t="shared" si="0"/>
        <v>3.4722222222222099E-3</v>
      </c>
      <c r="H24" s="208">
        <v>138.28</v>
      </c>
      <c r="I24" s="173">
        <v>0.44097222222222227</v>
      </c>
      <c r="J24" s="173">
        <v>0.45208333333333334</v>
      </c>
      <c r="K24" s="173">
        <f t="shared" si="1"/>
        <v>1.1111111111111072E-2</v>
      </c>
      <c r="L24" s="175">
        <v>113.31</v>
      </c>
      <c r="M24" s="173">
        <v>0.46666666666666662</v>
      </c>
      <c r="N24" s="173">
        <v>0.47291666666666665</v>
      </c>
      <c r="O24" s="173">
        <f t="shared" si="2"/>
        <v>6.2500000000000333E-3</v>
      </c>
      <c r="P24" s="175">
        <v>199</v>
      </c>
      <c r="Q24" s="174">
        <v>0.50694444444444442</v>
      </c>
      <c r="R24" s="174">
        <v>0.51388888888888895</v>
      </c>
      <c r="S24" s="173">
        <f t="shared" si="3"/>
        <v>6.9444444444445308E-3</v>
      </c>
      <c r="T24" s="175">
        <v>180</v>
      </c>
      <c r="U24" s="174">
        <v>0.53541666666666665</v>
      </c>
      <c r="V24" s="173">
        <v>0.5444444444444444</v>
      </c>
      <c r="W24" s="173">
        <f t="shared" si="4"/>
        <v>9.0277777777777457E-3</v>
      </c>
      <c r="X24" s="175">
        <v>96.42</v>
      </c>
      <c r="Y24" s="173">
        <v>0.55902777777777779</v>
      </c>
      <c r="Z24" s="173">
        <v>0.5708333333333333</v>
      </c>
      <c r="AA24" s="173">
        <f t="shared" si="5"/>
        <v>1.1805555555555514E-2</v>
      </c>
      <c r="AB24" s="176">
        <v>5</v>
      </c>
      <c r="AC24" s="173">
        <v>0.57500000000000007</v>
      </c>
      <c r="AD24" s="173">
        <v>0.5756944444444444</v>
      </c>
      <c r="AE24" s="173">
        <f t="shared" si="6"/>
        <v>6.9444444444433095E-4</v>
      </c>
      <c r="AF24" s="177">
        <f t="shared" si="7"/>
        <v>4.9305555555555436E-2</v>
      </c>
      <c r="AG24" s="176">
        <f t="shared" si="8"/>
        <v>722.01</v>
      </c>
      <c r="AH24" s="177">
        <f t="shared" si="9"/>
        <v>8.4544496487119428E-3</v>
      </c>
      <c r="AI24" s="177">
        <f t="shared" si="10"/>
        <v>5.7760005204267377E-2</v>
      </c>
      <c r="AJ24" s="187"/>
    </row>
    <row r="25" spans="1:40" s="8" customFormat="1" ht="20.55" customHeight="1">
      <c r="A25" s="21" t="s">
        <v>63</v>
      </c>
      <c r="B25" s="183" t="s">
        <v>90</v>
      </c>
      <c r="C25" s="192" t="s">
        <v>91</v>
      </c>
      <c r="D25" s="193" t="s">
        <v>21</v>
      </c>
      <c r="E25" s="174">
        <v>0.39097222222222222</v>
      </c>
      <c r="F25" s="174">
        <v>0.3923611111111111</v>
      </c>
      <c r="G25" s="173">
        <f t="shared" si="0"/>
        <v>1.388888888888884E-3</v>
      </c>
      <c r="H25" s="208">
        <v>157.88999999999999</v>
      </c>
      <c r="I25" s="173">
        <v>0.41250000000000003</v>
      </c>
      <c r="J25" s="173">
        <v>0.41944444444444445</v>
      </c>
      <c r="K25" s="173">
        <f t="shared" si="1"/>
        <v>6.9444444444444198E-3</v>
      </c>
      <c r="L25" s="175">
        <v>88.89</v>
      </c>
      <c r="M25" s="173">
        <v>0.43402777777777773</v>
      </c>
      <c r="N25" s="173">
        <v>0.4381944444444445</v>
      </c>
      <c r="O25" s="173">
        <f t="shared" si="2"/>
        <v>4.1666666666667629E-3</v>
      </c>
      <c r="P25" s="175">
        <v>199</v>
      </c>
      <c r="Q25" s="174">
        <v>0.46875</v>
      </c>
      <c r="R25" s="174">
        <v>0.47361111111111115</v>
      </c>
      <c r="S25" s="173">
        <f t="shared" si="3"/>
        <v>4.8611111111111494E-3</v>
      </c>
      <c r="T25" s="175">
        <v>180</v>
      </c>
      <c r="U25" s="174">
        <v>0.49583333333333335</v>
      </c>
      <c r="V25" s="173">
        <v>0.4993055555555555</v>
      </c>
      <c r="W25" s="173">
        <f t="shared" si="4"/>
        <v>3.4722222222221544E-3</v>
      </c>
      <c r="X25" s="175">
        <v>155.62</v>
      </c>
      <c r="Y25" s="173">
        <v>0.50624999999999998</v>
      </c>
      <c r="Z25" s="173">
        <v>0.51597222222222217</v>
      </c>
      <c r="AA25" s="173">
        <f t="shared" si="5"/>
        <v>9.7222222222221877E-3</v>
      </c>
      <c r="AB25" s="176"/>
      <c r="AC25" s="173">
        <v>0.5180555555555556</v>
      </c>
      <c r="AD25" s="173">
        <v>0.51874999999999993</v>
      </c>
      <c r="AE25" s="173">
        <f t="shared" si="6"/>
        <v>6.9444444444433095E-4</v>
      </c>
      <c r="AF25" s="177">
        <f t="shared" si="7"/>
        <v>3.1249999999999889E-2</v>
      </c>
      <c r="AG25" s="176">
        <f t="shared" si="8"/>
        <v>781.4</v>
      </c>
      <c r="AH25" s="177">
        <f t="shared" si="9"/>
        <v>9.1498829039812647E-3</v>
      </c>
      <c r="AI25" s="177">
        <f t="shared" si="10"/>
        <v>4.0399882903981152E-2</v>
      </c>
      <c r="AJ25" s="187"/>
    </row>
    <row r="26" spans="1:40" ht="20.55" customHeight="1">
      <c r="A26" s="21" t="s">
        <v>63</v>
      </c>
      <c r="B26" s="183" t="s">
        <v>34</v>
      </c>
      <c r="C26" s="192" t="s">
        <v>35</v>
      </c>
      <c r="D26" s="193" t="s">
        <v>21</v>
      </c>
      <c r="E26" s="174">
        <v>0.39097222222222222</v>
      </c>
      <c r="F26" s="174">
        <v>0.3923611111111111</v>
      </c>
      <c r="G26" s="173">
        <f t="shared" si="0"/>
        <v>1.388888888888884E-3</v>
      </c>
      <c r="H26" s="208">
        <v>155</v>
      </c>
      <c r="I26" s="173">
        <v>0.41666666666666669</v>
      </c>
      <c r="J26" s="173">
        <v>0.42083333333333334</v>
      </c>
      <c r="K26" s="173">
        <f t="shared" si="1"/>
        <v>4.1666666666666519E-3</v>
      </c>
      <c r="L26" s="175">
        <v>93.92</v>
      </c>
      <c r="M26" s="173">
        <v>0.4368055555555555</v>
      </c>
      <c r="N26" s="173">
        <v>0.44097222222222227</v>
      </c>
      <c r="O26" s="173">
        <f t="shared" si="2"/>
        <v>4.1666666666667629E-3</v>
      </c>
      <c r="P26" s="208">
        <v>198</v>
      </c>
      <c r="Q26" s="174">
        <v>0.47013888888888888</v>
      </c>
      <c r="R26" s="174">
        <v>0.47569444444444442</v>
      </c>
      <c r="S26" s="173">
        <f t="shared" si="3"/>
        <v>5.5555555555555358E-3</v>
      </c>
      <c r="T26" s="175">
        <v>180</v>
      </c>
      <c r="U26" s="174">
        <v>0.5</v>
      </c>
      <c r="V26" s="173">
        <v>0.50347222222222221</v>
      </c>
      <c r="W26" s="173">
        <f t="shared" si="4"/>
        <v>3.4722222222222099E-3</v>
      </c>
      <c r="X26" s="175">
        <v>100.14</v>
      </c>
      <c r="Y26" s="173">
        <v>0.51111111111111118</v>
      </c>
      <c r="Z26" s="173">
        <v>0.51944444444444449</v>
      </c>
      <c r="AA26" s="173">
        <f t="shared" si="5"/>
        <v>8.3333333333333037E-3</v>
      </c>
      <c r="AB26" s="176"/>
      <c r="AC26" s="173">
        <v>0.5229166666666667</v>
      </c>
      <c r="AD26" s="173">
        <v>0.52361111111111114</v>
      </c>
      <c r="AE26" s="173">
        <f t="shared" si="6"/>
        <v>6.9444444444444198E-4</v>
      </c>
      <c r="AF26" s="177">
        <f t="shared" si="7"/>
        <v>2.777777777777779E-2</v>
      </c>
      <c r="AG26" s="176">
        <f t="shared" si="8"/>
        <v>727.06000000000006</v>
      </c>
      <c r="AH26" s="177">
        <f t="shared" si="9"/>
        <v>8.5135831381733026E-3</v>
      </c>
      <c r="AI26" s="177">
        <f t="shared" si="10"/>
        <v>3.6291360915951094E-2</v>
      </c>
      <c r="AJ26" s="187"/>
    </row>
    <row r="27" spans="1:40">
      <c r="A27" s="21" t="s">
        <v>63</v>
      </c>
      <c r="B27" s="183" t="s">
        <v>95</v>
      </c>
      <c r="C27" s="192" t="s">
        <v>96</v>
      </c>
      <c r="D27" s="193" t="s">
        <v>21</v>
      </c>
      <c r="E27" s="174">
        <v>0.39097222222222222</v>
      </c>
      <c r="F27" s="174">
        <v>0.3923611111111111</v>
      </c>
      <c r="G27" s="173">
        <f t="shared" si="0"/>
        <v>1.388888888888884E-3</v>
      </c>
      <c r="H27" s="208">
        <v>160.6</v>
      </c>
      <c r="I27" s="173">
        <v>0.40972222222222227</v>
      </c>
      <c r="J27" s="173">
        <v>0.41388888888888892</v>
      </c>
      <c r="K27" s="173">
        <f t="shared" si="1"/>
        <v>4.1666666666666519E-3</v>
      </c>
      <c r="L27" s="175">
        <v>118.03</v>
      </c>
      <c r="M27" s="173">
        <v>0.43124999999999997</v>
      </c>
      <c r="N27" s="173">
        <v>0.43472222222222223</v>
      </c>
      <c r="O27" s="173">
        <f t="shared" si="2"/>
        <v>3.4722222222222654E-3</v>
      </c>
      <c r="P27" s="175">
        <v>199</v>
      </c>
      <c r="Q27" s="174">
        <v>0.46458333333333335</v>
      </c>
      <c r="R27" s="174">
        <v>0.46736111111111112</v>
      </c>
      <c r="S27" s="173">
        <f t="shared" si="3"/>
        <v>2.7777777777777679E-3</v>
      </c>
      <c r="T27" s="175">
        <v>180</v>
      </c>
      <c r="U27" s="174">
        <v>0.4916666666666667</v>
      </c>
      <c r="V27" s="173">
        <v>0.49305555555555558</v>
      </c>
      <c r="W27" s="173">
        <f t="shared" si="4"/>
        <v>1.388888888888884E-3</v>
      </c>
      <c r="X27" s="175">
        <v>99.41</v>
      </c>
      <c r="Y27" s="173">
        <v>0.5</v>
      </c>
      <c r="Z27" s="173">
        <v>0.50555555555555554</v>
      </c>
      <c r="AA27" s="173">
        <f t="shared" si="5"/>
        <v>5.5555555555555358E-3</v>
      </c>
      <c r="AB27" s="176">
        <v>5</v>
      </c>
      <c r="AC27" s="173">
        <v>0.50763888888888886</v>
      </c>
      <c r="AD27" s="173">
        <v>0.50763888888888886</v>
      </c>
      <c r="AE27" s="173">
        <f t="shared" si="6"/>
        <v>0</v>
      </c>
      <c r="AF27" s="177">
        <f t="shared" si="7"/>
        <v>1.8749999999999989E-2</v>
      </c>
      <c r="AG27" s="176">
        <f t="shared" si="8"/>
        <v>752.04</v>
      </c>
      <c r="AH27" s="177">
        <f t="shared" si="9"/>
        <v>8.8060889929742377E-3</v>
      </c>
      <c r="AI27" s="177">
        <f t="shared" si="10"/>
        <v>2.7556088992974227E-2</v>
      </c>
      <c r="AJ27" s="187"/>
    </row>
    <row r="28" spans="1:40" s="9" customFormat="1" ht="19.2" customHeight="1">
      <c r="A28" s="22" t="s">
        <v>74</v>
      </c>
      <c r="B28" s="183" t="s">
        <v>39</v>
      </c>
      <c r="C28" s="190" t="s">
        <v>40</v>
      </c>
      <c r="D28" s="191" t="s">
        <v>21</v>
      </c>
      <c r="E28" s="174">
        <v>0.32916666666666666</v>
      </c>
      <c r="F28" s="174">
        <v>0.33194444444444443</v>
      </c>
      <c r="G28" s="173">
        <f t="shared" si="0"/>
        <v>2.7777777777777679E-3</v>
      </c>
      <c r="H28" s="208">
        <v>121.52</v>
      </c>
      <c r="I28" s="173">
        <v>0.35138888888888892</v>
      </c>
      <c r="J28" s="173">
        <v>0.36041666666666666</v>
      </c>
      <c r="K28" s="173">
        <f t="shared" si="1"/>
        <v>9.0277777777777457E-3</v>
      </c>
      <c r="L28" s="175">
        <v>88.29</v>
      </c>
      <c r="M28" s="173">
        <v>0.37013888888888885</v>
      </c>
      <c r="N28" s="173">
        <v>0.37291666666666662</v>
      </c>
      <c r="O28" s="173">
        <f t="shared" si="2"/>
        <v>2.7777777777777679E-3</v>
      </c>
      <c r="P28" s="208">
        <v>188.08</v>
      </c>
      <c r="Q28" s="174">
        <v>0.38541666666666669</v>
      </c>
      <c r="R28" s="174">
        <v>0.3923611111111111</v>
      </c>
      <c r="S28" s="173">
        <f t="shared" si="3"/>
        <v>6.9444444444444198E-3</v>
      </c>
      <c r="T28" s="175">
        <v>144.13</v>
      </c>
      <c r="U28" s="174">
        <v>0.40208333333333335</v>
      </c>
      <c r="V28" s="173">
        <v>0.40625</v>
      </c>
      <c r="W28" s="173">
        <f t="shared" si="4"/>
        <v>4.1666666666666519E-3</v>
      </c>
      <c r="X28" s="175">
        <v>49.64</v>
      </c>
      <c r="Y28" s="173">
        <v>0.41111111111111115</v>
      </c>
      <c r="Z28" s="173">
        <v>0.42083333333333334</v>
      </c>
      <c r="AA28" s="173">
        <f t="shared" si="5"/>
        <v>9.7222222222221877E-3</v>
      </c>
      <c r="AB28" s="176">
        <v>5</v>
      </c>
      <c r="AC28" s="173">
        <v>0.42222222222222222</v>
      </c>
      <c r="AD28" s="173">
        <v>0.42291666666666666</v>
      </c>
      <c r="AE28" s="173">
        <f t="shared" si="6"/>
        <v>6.9444444444444198E-4</v>
      </c>
      <c r="AF28" s="177">
        <f t="shared" si="7"/>
        <v>3.6111111111110983E-2</v>
      </c>
      <c r="AG28" s="176">
        <f t="shared" si="8"/>
        <v>586.66</v>
      </c>
      <c r="AH28" s="177">
        <f t="shared" si="9"/>
        <v>6.8695550351288055E-3</v>
      </c>
      <c r="AI28" s="177">
        <f t="shared" si="10"/>
        <v>4.2980666146239785E-2</v>
      </c>
      <c r="AJ28" s="187"/>
    </row>
    <row r="29" spans="1:40">
      <c r="A29" s="22" t="s">
        <v>74</v>
      </c>
      <c r="B29" s="183" t="s">
        <v>102</v>
      </c>
      <c r="C29" s="192" t="s">
        <v>103</v>
      </c>
      <c r="D29" s="193" t="s">
        <v>21</v>
      </c>
      <c r="E29" s="174">
        <v>0.42708333333333331</v>
      </c>
      <c r="F29" s="174">
        <v>0.4291666666666667</v>
      </c>
      <c r="G29" s="173">
        <f t="shared" si="0"/>
        <v>2.0833333333333814E-3</v>
      </c>
      <c r="H29" s="208">
        <v>163.02000000000001</v>
      </c>
      <c r="I29" s="173">
        <v>0.45555555555555555</v>
      </c>
      <c r="J29" s="173">
        <v>0.46111111111111108</v>
      </c>
      <c r="K29" s="173">
        <f t="shared" si="1"/>
        <v>5.5555555555555358E-3</v>
      </c>
      <c r="L29" s="175">
        <v>122.33</v>
      </c>
      <c r="M29" s="173">
        <v>0.47500000000000003</v>
      </c>
      <c r="N29" s="173">
        <v>0.48055555555555557</v>
      </c>
      <c r="O29" s="173">
        <f t="shared" si="2"/>
        <v>5.5555555555555358E-3</v>
      </c>
      <c r="P29" s="175">
        <v>199</v>
      </c>
      <c r="Q29" s="174">
        <v>0.52152777777777781</v>
      </c>
      <c r="R29" s="174">
        <v>0.52708333333333335</v>
      </c>
      <c r="S29" s="173">
        <f t="shared" si="3"/>
        <v>5.5555555555555358E-3</v>
      </c>
      <c r="T29" s="175">
        <v>160.58000000000001</v>
      </c>
      <c r="U29" s="174">
        <v>0.55902777777777779</v>
      </c>
      <c r="V29" s="173">
        <v>0.56388888888888888</v>
      </c>
      <c r="W29" s="173">
        <f t="shared" si="4"/>
        <v>4.8611111111110938E-3</v>
      </c>
      <c r="X29" s="175">
        <v>93.13</v>
      </c>
      <c r="Y29" s="173">
        <v>0.57152777777777775</v>
      </c>
      <c r="Z29" s="173">
        <v>0.57916666666666672</v>
      </c>
      <c r="AA29" s="173">
        <f t="shared" si="5"/>
        <v>7.6388888888889728E-3</v>
      </c>
      <c r="AB29" s="176"/>
      <c r="AC29" s="173">
        <v>0.58194444444444449</v>
      </c>
      <c r="AD29" s="173">
        <v>0.58263888888888882</v>
      </c>
      <c r="AE29" s="173">
        <f t="shared" si="6"/>
        <v>6.9444444444433095E-4</v>
      </c>
      <c r="AF29" s="177">
        <f t="shared" si="7"/>
        <v>3.1944444444444386E-2</v>
      </c>
      <c r="AG29" s="176">
        <f t="shared" si="8"/>
        <v>738.06000000000006</v>
      </c>
      <c r="AH29" s="177">
        <f t="shared" si="9"/>
        <v>8.6423887587822028E-3</v>
      </c>
      <c r="AI29" s="177">
        <f t="shared" si="10"/>
        <v>4.0586833203226591E-2</v>
      </c>
      <c r="AJ29" s="187"/>
    </row>
    <row r="30" spans="1:40" s="8" customFormat="1">
      <c r="A30" s="22" t="s">
        <v>74</v>
      </c>
      <c r="B30" s="183" t="s">
        <v>100</v>
      </c>
      <c r="C30" s="192" t="s">
        <v>101</v>
      </c>
      <c r="D30" s="193" t="s">
        <v>21</v>
      </c>
      <c r="E30" s="174">
        <v>0.32916666666666666</v>
      </c>
      <c r="F30" s="174">
        <v>0.33194444444444443</v>
      </c>
      <c r="G30" s="173">
        <f t="shared" si="0"/>
        <v>2.7777777777777679E-3</v>
      </c>
      <c r="H30" s="208">
        <v>147.04</v>
      </c>
      <c r="I30" s="173">
        <v>0.35416666666666669</v>
      </c>
      <c r="J30" s="173">
        <v>0.35972222222222222</v>
      </c>
      <c r="K30" s="173">
        <f t="shared" si="1"/>
        <v>5.5555555555555358E-3</v>
      </c>
      <c r="L30" s="175">
        <v>98.33</v>
      </c>
      <c r="M30" s="173">
        <v>0.37013888888888885</v>
      </c>
      <c r="N30" s="173">
        <v>0.375</v>
      </c>
      <c r="O30" s="173">
        <f t="shared" si="2"/>
        <v>4.8611111111111494E-3</v>
      </c>
      <c r="P30" s="175">
        <v>199</v>
      </c>
      <c r="Q30" s="174">
        <v>0.38958333333333334</v>
      </c>
      <c r="R30" s="174">
        <v>0.39583333333333331</v>
      </c>
      <c r="S30" s="173">
        <f t="shared" si="3"/>
        <v>6.2499999999999778E-3</v>
      </c>
      <c r="T30" s="175">
        <v>180</v>
      </c>
      <c r="U30" s="174">
        <v>0.4055555555555555</v>
      </c>
      <c r="V30" s="173">
        <v>0.40972222222222227</v>
      </c>
      <c r="W30" s="173">
        <f t="shared" si="4"/>
        <v>4.1666666666667629E-3</v>
      </c>
      <c r="X30" s="175">
        <v>68.760000000000005</v>
      </c>
      <c r="Y30" s="173">
        <v>0.4145833333333333</v>
      </c>
      <c r="Z30" s="173">
        <v>0.42430555555555555</v>
      </c>
      <c r="AA30" s="173">
        <f t="shared" si="5"/>
        <v>9.7222222222222432E-3</v>
      </c>
      <c r="AB30" s="176"/>
      <c r="AC30" s="173">
        <v>0.42777777777777781</v>
      </c>
      <c r="AD30" s="173">
        <v>0.42777777777777781</v>
      </c>
      <c r="AE30" s="173">
        <f t="shared" si="6"/>
        <v>0</v>
      </c>
      <c r="AF30" s="177">
        <f t="shared" si="7"/>
        <v>3.3333333333333437E-2</v>
      </c>
      <c r="AG30" s="176">
        <f t="shared" si="8"/>
        <v>693.13</v>
      </c>
      <c r="AH30" s="177">
        <f t="shared" si="9"/>
        <v>8.1162763466042162E-3</v>
      </c>
      <c r="AI30" s="177">
        <f t="shared" si="10"/>
        <v>4.1449609679937653E-2</v>
      </c>
      <c r="AJ30" s="187"/>
    </row>
    <row r="31" spans="1:40" s="8" customFormat="1" ht="24.45" customHeight="1">
      <c r="A31" s="23" t="s">
        <v>81</v>
      </c>
      <c r="B31" s="183" t="s">
        <v>105</v>
      </c>
      <c r="C31" s="192" t="s">
        <v>106</v>
      </c>
      <c r="D31" s="193" t="s">
        <v>21</v>
      </c>
      <c r="E31" s="174">
        <v>0.44930555555555557</v>
      </c>
      <c r="F31" s="174">
        <v>0.45277777777777778</v>
      </c>
      <c r="G31" s="173">
        <f t="shared" si="0"/>
        <v>3.4722222222222099E-3</v>
      </c>
      <c r="H31" s="208">
        <v>142.62</v>
      </c>
      <c r="I31" s="173">
        <v>0.4826388888888889</v>
      </c>
      <c r="J31" s="173">
        <v>0.48888888888888887</v>
      </c>
      <c r="K31" s="173">
        <f t="shared" si="1"/>
        <v>6.2499999999999778E-3</v>
      </c>
      <c r="L31" s="175">
        <v>80.86</v>
      </c>
      <c r="M31" s="173">
        <v>0.50277777777777777</v>
      </c>
      <c r="N31" s="173">
        <v>0.50902777777777775</v>
      </c>
      <c r="O31" s="173">
        <f t="shared" si="2"/>
        <v>6.2499999999999778E-3</v>
      </c>
      <c r="P31" s="175">
        <v>199</v>
      </c>
      <c r="Q31" s="174">
        <v>0.55069444444444449</v>
      </c>
      <c r="R31" s="174">
        <v>0.55763888888888891</v>
      </c>
      <c r="S31" s="173">
        <f t="shared" si="3"/>
        <v>6.9444444444444198E-3</v>
      </c>
      <c r="T31" s="175">
        <v>174.73</v>
      </c>
      <c r="U31" s="174">
        <v>0.58472222222222225</v>
      </c>
      <c r="V31" s="173">
        <v>0.58958333333333335</v>
      </c>
      <c r="W31" s="173">
        <f t="shared" si="4"/>
        <v>4.8611111111110938E-3</v>
      </c>
      <c r="X31" s="175">
        <v>85.83</v>
      </c>
      <c r="Y31" s="173">
        <v>0.60347222222222219</v>
      </c>
      <c r="Z31" s="173">
        <v>0.61319444444444449</v>
      </c>
      <c r="AA31" s="173">
        <f t="shared" si="5"/>
        <v>9.7222222222222987E-3</v>
      </c>
      <c r="AB31" s="176">
        <v>5</v>
      </c>
      <c r="AC31" s="173">
        <v>0.6166666666666667</v>
      </c>
      <c r="AD31" s="173">
        <v>0.61736111111111114</v>
      </c>
      <c r="AE31" s="173">
        <f t="shared" si="6"/>
        <v>6.9444444444444198E-4</v>
      </c>
      <c r="AF31" s="177">
        <f t="shared" si="7"/>
        <v>3.819444444444442E-2</v>
      </c>
      <c r="AG31" s="176">
        <f t="shared" si="8"/>
        <v>678.04000000000008</v>
      </c>
      <c r="AH31" s="177">
        <f t="shared" si="9"/>
        <v>7.9395784543325534E-3</v>
      </c>
      <c r="AI31" s="177">
        <f t="shared" si="10"/>
        <v>4.6134022898776973E-2</v>
      </c>
      <c r="AJ31" s="187"/>
    </row>
    <row r="32" spans="1:40" ht="24.45" customHeight="1">
      <c r="A32" s="23" t="s">
        <v>81</v>
      </c>
      <c r="B32" s="183" t="s">
        <v>112</v>
      </c>
      <c r="C32" s="190" t="s">
        <v>113</v>
      </c>
      <c r="D32" s="191" t="s">
        <v>21</v>
      </c>
      <c r="E32" s="174">
        <v>0.44930555555555557</v>
      </c>
      <c r="F32" s="174">
        <v>0.45277777777777778</v>
      </c>
      <c r="G32" s="173">
        <f t="shared" si="0"/>
        <v>3.4722222222222099E-3</v>
      </c>
      <c r="H32" s="208">
        <v>180</v>
      </c>
      <c r="I32" s="173">
        <v>0.48749999999999999</v>
      </c>
      <c r="J32" s="173">
        <v>0.49583333333333335</v>
      </c>
      <c r="K32" s="173">
        <f t="shared" si="1"/>
        <v>8.3333333333333592E-3</v>
      </c>
      <c r="L32" s="175">
        <v>180</v>
      </c>
      <c r="M32" s="173">
        <v>0.51111111111111118</v>
      </c>
      <c r="N32" s="173">
        <v>0.5180555555555556</v>
      </c>
      <c r="O32" s="173">
        <f t="shared" si="2"/>
        <v>6.9444444444444198E-3</v>
      </c>
      <c r="P32" s="175">
        <v>199</v>
      </c>
      <c r="Q32" s="174">
        <v>0.56111111111111112</v>
      </c>
      <c r="R32" s="174">
        <v>0.56805555555555554</v>
      </c>
      <c r="S32" s="173">
        <f t="shared" si="3"/>
        <v>6.9444444444444198E-3</v>
      </c>
      <c r="T32" s="175">
        <v>180</v>
      </c>
      <c r="U32" s="174">
        <v>0.58958333333333335</v>
      </c>
      <c r="V32" s="173">
        <v>0.59513888888888888</v>
      </c>
      <c r="W32" s="173">
        <f t="shared" si="4"/>
        <v>5.5555555555555358E-3</v>
      </c>
      <c r="X32" s="175">
        <v>180</v>
      </c>
      <c r="Y32" s="173">
        <v>0.60625000000000007</v>
      </c>
      <c r="Z32" s="173">
        <v>0.61875000000000002</v>
      </c>
      <c r="AA32" s="173">
        <f t="shared" si="5"/>
        <v>1.2499999999999956E-2</v>
      </c>
      <c r="AB32" s="176"/>
      <c r="AC32" s="173">
        <v>0.62430555555555556</v>
      </c>
      <c r="AD32" s="173">
        <v>0.62569444444444444</v>
      </c>
      <c r="AE32" s="173">
        <f t="shared" si="6"/>
        <v>1.388888888888884E-3</v>
      </c>
      <c r="AF32" s="177">
        <f t="shared" si="7"/>
        <v>4.5138888888888784E-2</v>
      </c>
      <c r="AG32" s="176">
        <f t="shared" si="8"/>
        <v>919</v>
      </c>
      <c r="AH32" s="177">
        <f t="shared" si="9"/>
        <v>1.0761124121779859E-2</v>
      </c>
      <c r="AI32" s="177">
        <f t="shared" si="10"/>
        <v>5.5900013010668645E-2</v>
      </c>
      <c r="AJ32" s="187"/>
    </row>
    <row r="33" spans="1:40" s="8" customFormat="1" ht="20.55" customHeight="1">
      <c r="A33" s="23" t="s">
        <v>81</v>
      </c>
      <c r="B33" s="183" t="s">
        <v>25</v>
      </c>
      <c r="C33" s="192" t="s">
        <v>26</v>
      </c>
      <c r="D33" s="193" t="s">
        <v>21</v>
      </c>
      <c r="E33" s="174">
        <v>0.43958333333333338</v>
      </c>
      <c r="F33" s="174">
        <v>0.45069444444444445</v>
      </c>
      <c r="G33" s="173">
        <f t="shared" si="0"/>
        <v>1.1111111111111072E-2</v>
      </c>
      <c r="H33" s="208">
        <v>153.72999999999999</v>
      </c>
      <c r="I33" s="173">
        <v>0.46875</v>
      </c>
      <c r="J33" s="173">
        <v>0.48194444444444445</v>
      </c>
      <c r="K33" s="173">
        <f t="shared" si="1"/>
        <v>1.3194444444444453E-2</v>
      </c>
      <c r="L33" s="175">
        <v>104.57</v>
      </c>
      <c r="M33" s="173">
        <v>0.49444444444444446</v>
      </c>
      <c r="N33" s="173">
        <v>0.50347222222222221</v>
      </c>
      <c r="O33" s="173">
        <f t="shared" si="2"/>
        <v>9.0277777777777457E-3</v>
      </c>
      <c r="P33" s="208">
        <v>193.7</v>
      </c>
      <c r="Q33" s="174">
        <v>0.53888888888888886</v>
      </c>
      <c r="R33" s="174">
        <v>0.55277777777777781</v>
      </c>
      <c r="S33" s="173">
        <f t="shared" si="3"/>
        <v>1.3888888888888951E-2</v>
      </c>
      <c r="T33" s="175">
        <v>180</v>
      </c>
      <c r="U33" s="174">
        <v>0.57916666666666672</v>
      </c>
      <c r="V33" s="173">
        <v>0.58333333333333337</v>
      </c>
      <c r="W33" s="173">
        <f t="shared" si="4"/>
        <v>4.1666666666666519E-3</v>
      </c>
      <c r="X33" s="175">
        <v>128.07</v>
      </c>
      <c r="Y33" s="173">
        <v>0.59375</v>
      </c>
      <c r="Z33" s="173">
        <v>0.6</v>
      </c>
      <c r="AA33" s="173">
        <f t="shared" si="5"/>
        <v>6.2499999999999778E-3</v>
      </c>
      <c r="AB33" s="176"/>
      <c r="AC33" s="173">
        <v>0.60486111111111118</v>
      </c>
      <c r="AD33" s="173">
        <v>0.60486111111111118</v>
      </c>
      <c r="AE33" s="173">
        <f t="shared" si="6"/>
        <v>0</v>
      </c>
      <c r="AF33" s="177">
        <f t="shared" si="7"/>
        <v>5.7638888888888851E-2</v>
      </c>
      <c r="AG33" s="176">
        <f t="shared" si="8"/>
        <v>760.06999999999994</v>
      </c>
      <c r="AH33" s="177">
        <f t="shared" si="9"/>
        <v>8.9001170960187354E-3</v>
      </c>
      <c r="AI33" s="177">
        <f t="shared" si="10"/>
        <v>6.6539005984907584E-2</v>
      </c>
      <c r="AJ33" s="187"/>
    </row>
    <row r="34" spans="1:40" ht="20.55" customHeight="1">
      <c r="A34" s="23" t="s">
        <v>81</v>
      </c>
      <c r="B34" s="183" t="s">
        <v>109</v>
      </c>
      <c r="C34" s="192" t="s">
        <v>110</v>
      </c>
      <c r="D34" s="193" t="s">
        <v>21</v>
      </c>
      <c r="E34" s="174">
        <v>0.44027777777777777</v>
      </c>
      <c r="F34" s="174">
        <v>0.44930555555555557</v>
      </c>
      <c r="G34" s="173">
        <f t="shared" ref="G34:G65" si="11">SUM(F34-E34)</f>
        <v>9.0277777777778012E-3</v>
      </c>
      <c r="H34" s="208">
        <v>164.58</v>
      </c>
      <c r="I34" s="173">
        <v>0.4597222222222222</v>
      </c>
      <c r="J34" s="173">
        <v>0.46736111111111112</v>
      </c>
      <c r="K34" s="173">
        <f t="shared" ref="K34:K65" si="12">SUM(J34-I34)</f>
        <v>7.6388888888889173E-3</v>
      </c>
      <c r="L34" s="175">
        <v>129.09</v>
      </c>
      <c r="M34" s="173">
        <v>0.48541666666666666</v>
      </c>
      <c r="N34" s="173">
        <v>0.48888888888888887</v>
      </c>
      <c r="O34" s="173">
        <f t="shared" ref="O34:O65" si="13">SUM(N34-M34)</f>
        <v>3.4722222222222099E-3</v>
      </c>
      <c r="P34" s="175">
        <v>199</v>
      </c>
      <c r="Q34" s="174">
        <v>0.53055555555555556</v>
      </c>
      <c r="R34" s="174">
        <v>0.53402777777777777</v>
      </c>
      <c r="S34" s="173">
        <f t="shared" ref="S34:S65" si="14">SUM(R34-Q34)</f>
        <v>3.4722222222222099E-3</v>
      </c>
      <c r="T34" s="175">
        <v>180</v>
      </c>
      <c r="U34" s="194">
        <v>0.56874999999999998</v>
      </c>
      <c r="V34" s="173">
        <v>0.57361111111111118</v>
      </c>
      <c r="W34" s="173">
        <f t="shared" ref="W34:W65" si="15">SUM(V34-U34)</f>
        <v>4.8611111111112049E-3</v>
      </c>
      <c r="X34" s="175">
        <v>96.28</v>
      </c>
      <c r="Y34" s="173">
        <v>0.57986111111111105</v>
      </c>
      <c r="Z34" s="173">
        <v>0.59861111111111109</v>
      </c>
      <c r="AA34" s="173">
        <f t="shared" ref="AA34:AA65" si="16">SUM(Z34-Y34)</f>
        <v>1.8750000000000044E-2</v>
      </c>
      <c r="AB34" s="176"/>
      <c r="AC34" s="173">
        <v>0.60486111111111118</v>
      </c>
      <c r="AD34" s="173">
        <v>0.60486111111111118</v>
      </c>
      <c r="AE34" s="173">
        <f t="shared" ref="AE34:AE65" si="17">SUM(AD34-AC34)</f>
        <v>0</v>
      </c>
      <c r="AF34" s="177">
        <f t="shared" ref="AF34:AF65" si="18">SUM(G34+K34+O34+S34+W34+AA34+AE34)</f>
        <v>4.7222222222222388E-2</v>
      </c>
      <c r="AG34" s="176">
        <f t="shared" ref="AG34:AG70" si="19">SUM(H34+L34+P34+T34+X34-AB34)</f>
        <v>768.95</v>
      </c>
      <c r="AH34" s="177">
        <f t="shared" ref="AH34:AH65" si="20">AG34/85400</f>
        <v>9.0040983606557382E-3</v>
      </c>
      <c r="AI34" s="177">
        <f t="shared" ref="AI34:AI65" si="21">SUM(AF34+AH34)</f>
        <v>5.6226320582878124E-2</v>
      </c>
      <c r="AJ34" s="187"/>
    </row>
    <row r="35" spans="1:40" s="8" customFormat="1" ht="20.55" customHeight="1">
      <c r="A35" s="23" t="s">
        <v>81</v>
      </c>
      <c r="B35" s="183" t="s">
        <v>107</v>
      </c>
      <c r="C35" s="192" t="s">
        <v>108</v>
      </c>
      <c r="D35" s="193" t="s">
        <v>21</v>
      </c>
      <c r="E35" s="174">
        <v>0.44027777777777777</v>
      </c>
      <c r="F35" s="174">
        <v>0.45069444444444445</v>
      </c>
      <c r="G35" s="173">
        <f t="shared" si="11"/>
        <v>1.0416666666666685E-2</v>
      </c>
      <c r="H35" s="208">
        <v>166.45</v>
      </c>
      <c r="I35" s="173">
        <v>0.47222222222222227</v>
      </c>
      <c r="J35" s="173">
        <v>0.47986111111111113</v>
      </c>
      <c r="K35" s="173">
        <f t="shared" si="12"/>
        <v>7.6388888888888618E-3</v>
      </c>
      <c r="L35" s="175">
        <v>121.18</v>
      </c>
      <c r="M35" s="173">
        <v>0.49583333333333335</v>
      </c>
      <c r="N35" s="173">
        <v>0.50347222222222221</v>
      </c>
      <c r="O35" s="173">
        <f t="shared" si="13"/>
        <v>7.6388888888888618E-3</v>
      </c>
      <c r="P35" s="175">
        <v>199</v>
      </c>
      <c r="Q35" s="174">
        <v>0.54305555555555551</v>
      </c>
      <c r="R35" s="174">
        <v>0.55277777777777781</v>
      </c>
      <c r="S35" s="173">
        <f t="shared" si="14"/>
        <v>9.7222222222222987E-3</v>
      </c>
      <c r="T35" s="175">
        <v>180</v>
      </c>
      <c r="U35" s="174">
        <v>0.58263888888888882</v>
      </c>
      <c r="V35" s="173">
        <v>0.58750000000000002</v>
      </c>
      <c r="W35" s="173">
        <f t="shared" si="15"/>
        <v>4.8611111111112049E-3</v>
      </c>
      <c r="X35" s="175">
        <v>132.47</v>
      </c>
      <c r="Y35" s="173">
        <v>0.59930555555555554</v>
      </c>
      <c r="Z35" s="173">
        <v>0.61249999999999993</v>
      </c>
      <c r="AA35" s="173">
        <f t="shared" si="16"/>
        <v>1.3194444444444398E-2</v>
      </c>
      <c r="AB35" s="176">
        <v>5</v>
      </c>
      <c r="AC35" s="173">
        <v>0.6166666666666667</v>
      </c>
      <c r="AD35" s="173">
        <v>0.61736111111111114</v>
      </c>
      <c r="AE35" s="173">
        <f t="shared" si="17"/>
        <v>6.9444444444444198E-4</v>
      </c>
      <c r="AF35" s="177">
        <f t="shared" si="18"/>
        <v>5.4166666666666752E-2</v>
      </c>
      <c r="AG35" s="176">
        <f t="shared" si="19"/>
        <v>794.1</v>
      </c>
      <c r="AH35" s="177">
        <f t="shared" si="20"/>
        <v>9.2985948477751768E-3</v>
      </c>
      <c r="AI35" s="177">
        <f t="shared" si="21"/>
        <v>6.3465261514441929E-2</v>
      </c>
      <c r="AJ35" s="187"/>
    </row>
    <row r="36" spans="1:40" ht="20.55" customHeight="1">
      <c r="A36" s="22" t="s">
        <v>92</v>
      </c>
      <c r="B36" s="183" t="s">
        <v>114</v>
      </c>
      <c r="C36" s="184" t="s">
        <v>115</v>
      </c>
      <c r="D36" s="189" t="s">
        <v>147</v>
      </c>
      <c r="E36" s="174">
        <v>0.44097222222222227</v>
      </c>
      <c r="F36" s="174">
        <v>0.44930555555555557</v>
      </c>
      <c r="G36" s="173">
        <f t="shared" si="11"/>
        <v>8.3333333333333037E-3</v>
      </c>
      <c r="H36" s="208">
        <v>114.2</v>
      </c>
      <c r="I36" s="173">
        <v>0.47569444444444442</v>
      </c>
      <c r="J36" s="173">
        <v>0.47986111111111113</v>
      </c>
      <c r="K36" s="173">
        <f t="shared" si="12"/>
        <v>4.1666666666667074E-3</v>
      </c>
      <c r="L36" s="175">
        <v>117.65</v>
      </c>
      <c r="M36" s="173">
        <v>0.48819444444444443</v>
      </c>
      <c r="N36" s="173">
        <v>0.4916666666666667</v>
      </c>
      <c r="O36" s="173">
        <f t="shared" si="13"/>
        <v>3.4722222222222654E-3</v>
      </c>
      <c r="P36" s="175">
        <v>199</v>
      </c>
      <c r="Q36" s="174">
        <v>0.53611111111111109</v>
      </c>
      <c r="R36" s="174">
        <v>0.54027777777777775</v>
      </c>
      <c r="S36" s="173">
        <f t="shared" si="14"/>
        <v>4.1666666666666519E-3</v>
      </c>
      <c r="T36" s="175">
        <v>154.94</v>
      </c>
      <c r="U36" s="174">
        <v>0.57500000000000007</v>
      </c>
      <c r="V36" s="173">
        <v>0.57777777777777783</v>
      </c>
      <c r="W36" s="173">
        <f t="shared" si="15"/>
        <v>2.7777777777777679E-3</v>
      </c>
      <c r="X36" s="175">
        <v>109.51</v>
      </c>
      <c r="Y36" s="173">
        <v>0.58611111111111114</v>
      </c>
      <c r="Z36" s="173">
        <v>0.59166666666666667</v>
      </c>
      <c r="AA36" s="173">
        <f t="shared" si="16"/>
        <v>5.5555555555555358E-3</v>
      </c>
      <c r="AB36" s="176">
        <v>5</v>
      </c>
      <c r="AC36" s="173">
        <v>0.5541666666666667</v>
      </c>
      <c r="AD36" s="173">
        <v>0.59652777777777777</v>
      </c>
      <c r="AE36" s="173">
        <f t="shared" si="17"/>
        <v>4.2361111111111072E-2</v>
      </c>
      <c r="AF36" s="177">
        <f t="shared" si="18"/>
        <v>7.0833333333333304E-2</v>
      </c>
      <c r="AG36" s="176">
        <f t="shared" si="19"/>
        <v>690.3</v>
      </c>
      <c r="AH36" s="177">
        <f t="shared" si="20"/>
        <v>8.0831381733021072E-3</v>
      </c>
      <c r="AI36" s="177">
        <f t="shared" si="21"/>
        <v>7.8916471506635416E-2</v>
      </c>
      <c r="AJ36" s="187"/>
    </row>
    <row r="37" spans="1:40" s="8" customFormat="1" ht="22.2" customHeight="1">
      <c r="A37" s="22" t="s">
        <v>92</v>
      </c>
      <c r="B37" s="183" t="s">
        <v>37</v>
      </c>
      <c r="C37" s="190" t="s">
        <v>38</v>
      </c>
      <c r="D37" s="191" t="s">
        <v>21</v>
      </c>
      <c r="E37" s="174">
        <v>0.45763888888888887</v>
      </c>
      <c r="F37" s="174">
        <v>0.4597222222222222</v>
      </c>
      <c r="G37" s="173">
        <f t="shared" si="11"/>
        <v>2.0833333333333259E-3</v>
      </c>
      <c r="H37" s="208">
        <v>140.51</v>
      </c>
      <c r="I37" s="173">
        <v>0.4916666666666667</v>
      </c>
      <c r="J37" s="173">
        <v>0.49583333333333335</v>
      </c>
      <c r="K37" s="173">
        <f t="shared" si="12"/>
        <v>4.1666666666666519E-3</v>
      </c>
      <c r="L37" s="175">
        <v>106.51</v>
      </c>
      <c r="M37" s="173">
        <v>0.50555555555555554</v>
      </c>
      <c r="N37" s="173">
        <v>0.50972222222222219</v>
      </c>
      <c r="O37" s="173">
        <f t="shared" si="13"/>
        <v>4.1666666666666519E-3</v>
      </c>
      <c r="P37" s="208">
        <v>197</v>
      </c>
      <c r="Q37" s="174">
        <v>0.55555555555555558</v>
      </c>
      <c r="R37" s="174">
        <v>0.56458333333333333</v>
      </c>
      <c r="S37" s="173">
        <f t="shared" si="14"/>
        <v>9.0277777777777457E-3</v>
      </c>
      <c r="T37" s="175">
        <v>180</v>
      </c>
      <c r="U37" s="174">
        <v>0.58611111111111114</v>
      </c>
      <c r="V37" s="173">
        <v>0.58888888888888891</v>
      </c>
      <c r="W37" s="173">
        <f t="shared" si="15"/>
        <v>2.7777777777777679E-3</v>
      </c>
      <c r="X37" s="175">
        <v>109.53</v>
      </c>
      <c r="Y37" s="173">
        <v>0.60069444444444442</v>
      </c>
      <c r="Z37" s="173">
        <v>0.6069444444444444</v>
      </c>
      <c r="AA37" s="173">
        <f t="shared" si="16"/>
        <v>6.2499999999999778E-3</v>
      </c>
      <c r="AB37" s="176">
        <v>5</v>
      </c>
      <c r="AC37" s="173">
        <v>0.61041666666666672</v>
      </c>
      <c r="AD37" s="173">
        <v>0.61041666666666672</v>
      </c>
      <c r="AE37" s="173">
        <f t="shared" si="17"/>
        <v>0</v>
      </c>
      <c r="AF37" s="177">
        <f t="shared" si="18"/>
        <v>2.8472222222222121E-2</v>
      </c>
      <c r="AG37" s="176">
        <f t="shared" si="19"/>
        <v>728.55</v>
      </c>
      <c r="AH37" s="177">
        <f t="shared" si="20"/>
        <v>8.5310304449648707E-3</v>
      </c>
      <c r="AI37" s="177">
        <f t="shared" si="21"/>
        <v>3.7003252667186994E-2</v>
      </c>
      <c r="AJ37" s="187"/>
    </row>
    <row r="38" spans="1:40" ht="20.55" customHeight="1">
      <c r="A38" s="22" t="s">
        <v>92</v>
      </c>
      <c r="B38" s="183" t="s">
        <v>116</v>
      </c>
      <c r="C38" s="192" t="s">
        <v>117</v>
      </c>
      <c r="D38" s="193" t="s">
        <v>21</v>
      </c>
      <c r="E38" s="174">
        <v>0.45763888888888887</v>
      </c>
      <c r="F38" s="174">
        <v>0.4597222222222222</v>
      </c>
      <c r="G38" s="173">
        <f t="shared" si="11"/>
        <v>2.0833333333333259E-3</v>
      </c>
      <c r="H38" s="208">
        <v>167.35</v>
      </c>
      <c r="I38" s="173">
        <v>0.49722222222222223</v>
      </c>
      <c r="J38" s="173">
        <v>0.50277777777777777</v>
      </c>
      <c r="K38" s="173">
        <f t="shared" si="12"/>
        <v>5.5555555555555358E-3</v>
      </c>
      <c r="L38" s="175">
        <v>126.32</v>
      </c>
      <c r="M38" s="173">
        <v>0.51458333333333328</v>
      </c>
      <c r="N38" s="173">
        <v>0.52083333333333337</v>
      </c>
      <c r="O38" s="173">
        <f t="shared" si="13"/>
        <v>6.2500000000000888E-3</v>
      </c>
      <c r="P38" s="175">
        <v>199</v>
      </c>
      <c r="Q38" s="174">
        <v>0.56388888888888888</v>
      </c>
      <c r="R38" s="174">
        <v>0.57013888888888886</v>
      </c>
      <c r="S38" s="173">
        <f t="shared" si="14"/>
        <v>6.2499999999999778E-3</v>
      </c>
      <c r="T38" s="175">
        <v>174.3</v>
      </c>
      <c r="U38" s="174">
        <v>0.59236111111111112</v>
      </c>
      <c r="V38" s="173">
        <v>0.59652777777777777</v>
      </c>
      <c r="W38" s="173">
        <f t="shared" si="15"/>
        <v>4.1666666666666519E-3</v>
      </c>
      <c r="X38" s="175">
        <v>129.41</v>
      </c>
      <c r="Y38" s="173">
        <v>0.60972222222222217</v>
      </c>
      <c r="Z38" s="173">
        <v>0.61944444444444446</v>
      </c>
      <c r="AA38" s="173">
        <f t="shared" si="16"/>
        <v>9.7222222222222987E-3</v>
      </c>
      <c r="AB38" s="176"/>
      <c r="AC38" s="173">
        <v>0.625</v>
      </c>
      <c r="AD38" s="173">
        <v>0.62569444444444444</v>
      </c>
      <c r="AE38" s="173">
        <f t="shared" si="17"/>
        <v>6.9444444444444198E-4</v>
      </c>
      <c r="AF38" s="177">
        <f t="shared" si="18"/>
        <v>3.4722222222222321E-2</v>
      </c>
      <c r="AG38" s="176">
        <f t="shared" si="19"/>
        <v>796.38</v>
      </c>
      <c r="AH38" s="177">
        <f t="shared" si="20"/>
        <v>9.3252927400468387E-3</v>
      </c>
      <c r="AI38" s="177">
        <f t="shared" si="21"/>
        <v>4.4047514962269163E-2</v>
      </c>
      <c r="AJ38" s="187"/>
    </row>
    <row r="39" spans="1:40" s="8" customFormat="1" ht="20.55" customHeight="1">
      <c r="A39" s="21" t="s">
        <v>99</v>
      </c>
      <c r="B39" s="183" t="s">
        <v>27</v>
      </c>
      <c r="C39" s="192" t="s">
        <v>28</v>
      </c>
      <c r="D39" s="193" t="s">
        <v>21</v>
      </c>
      <c r="E39" s="174">
        <v>0.45763888888888887</v>
      </c>
      <c r="F39" s="174">
        <v>0.4597222222222222</v>
      </c>
      <c r="G39" s="173">
        <f t="shared" si="11"/>
        <v>2.0833333333333259E-3</v>
      </c>
      <c r="H39" s="208">
        <v>132.82</v>
      </c>
      <c r="I39" s="173">
        <v>0.50138888888888888</v>
      </c>
      <c r="J39" s="173">
        <v>0.50486111111111109</v>
      </c>
      <c r="K39" s="173">
        <f t="shared" si="12"/>
        <v>3.4722222222222099E-3</v>
      </c>
      <c r="L39" s="175">
        <v>112.69</v>
      </c>
      <c r="M39" s="173">
        <v>0.51874999999999993</v>
      </c>
      <c r="N39" s="173">
        <v>0.52222222222222225</v>
      </c>
      <c r="O39" s="173">
        <f t="shared" si="13"/>
        <v>3.4722222222223209E-3</v>
      </c>
      <c r="P39" s="208">
        <v>176.56</v>
      </c>
      <c r="Q39" s="174">
        <v>0.56597222222222221</v>
      </c>
      <c r="R39" s="174">
        <v>0.57013888888888886</v>
      </c>
      <c r="S39" s="173">
        <f t="shared" si="14"/>
        <v>4.1666666666666519E-3</v>
      </c>
      <c r="T39" s="175">
        <v>152.5</v>
      </c>
      <c r="U39" s="174">
        <v>0.59513888888888888</v>
      </c>
      <c r="V39" s="173">
        <v>0.59791666666666665</v>
      </c>
      <c r="W39" s="173">
        <f t="shared" si="15"/>
        <v>2.7777777777777679E-3</v>
      </c>
      <c r="X39" s="175">
        <v>114.11</v>
      </c>
      <c r="Y39" s="173">
        <v>0.61249999999999993</v>
      </c>
      <c r="Z39" s="173">
        <v>0.61875000000000002</v>
      </c>
      <c r="AA39" s="173">
        <f t="shared" si="16"/>
        <v>6.2500000000000888E-3</v>
      </c>
      <c r="AB39" s="176">
        <v>5</v>
      </c>
      <c r="AC39" s="173">
        <v>0.62430555555555556</v>
      </c>
      <c r="AD39" s="173">
        <v>0.625</v>
      </c>
      <c r="AE39" s="173">
        <f t="shared" si="17"/>
        <v>6.9444444444444198E-4</v>
      </c>
      <c r="AF39" s="177">
        <f t="shared" si="18"/>
        <v>2.2916666666666807E-2</v>
      </c>
      <c r="AG39" s="176">
        <f t="shared" si="19"/>
        <v>683.68</v>
      </c>
      <c r="AH39" s="177">
        <f t="shared" si="20"/>
        <v>8.0056206088992971E-3</v>
      </c>
      <c r="AI39" s="177">
        <f t="shared" si="21"/>
        <v>3.0922287275566104E-2</v>
      </c>
      <c r="AJ39" s="187"/>
    </row>
    <row r="40" spans="1:40" ht="20.55" customHeight="1">
      <c r="A40" s="21" t="s">
        <v>99</v>
      </c>
      <c r="B40" s="183" t="s">
        <v>118</v>
      </c>
      <c r="C40" s="192" t="s">
        <v>119</v>
      </c>
      <c r="D40" s="193" t="s">
        <v>21</v>
      </c>
      <c r="E40" s="174">
        <v>0.52916666666666667</v>
      </c>
      <c r="F40" s="174">
        <v>0.52986111111111112</v>
      </c>
      <c r="G40" s="173">
        <f t="shared" si="11"/>
        <v>6.9444444444444198E-4</v>
      </c>
      <c r="H40" s="208">
        <v>119.67</v>
      </c>
      <c r="I40" s="173">
        <v>0.5444444444444444</v>
      </c>
      <c r="J40" s="173">
        <v>0.54861111111111105</v>
      </c>
      <c r="K40" s="173">
        <f t="shared" si="12"/>
        <v>4.1666666666666519E-3</v>
      </c>
      <c r="L40" s="175">
        <v>119.33</v>
      </c>
      <c r="M40" s="173">
        <v>0.55902777777777779</v>
      </c>
      <c r="N40" s="173">
        <v>0.56527777777777777</v>
      </c>
      <c r="O40" s="173">
        <f t="shared" si="13"/>
        <v>6.2499999999999778E-3</v>
      </c>
      <c r="P40" s="175">
        <v>199</v>
      </c>
      <c r="Q40" s="174">
        <v>0.58263888888888882</v>
      </c>
      <c r="R40" s="174">
        <v>0.60625000000000007</v>
      </c>
      <c r="S40" s="173">
        <f t="shared" si="14"/>
        <v>2.3611111111111249E-2</v>
      </c>
      <c r="T40" s="175">
        <v>180</v>
      </c>
      <c r="U40" s="174">
        <v>0.62569444444444444</v>
      </c>
      <c r="V40" s="173">
        <v>0.62847222222222221</v>
      </c>
      <c r="W40" s="173">
        <f t="shared" si="15"/>
        <v>2.7777777777777679E-3</v>
      </c>
      <c r="X40" s="175">
        <v>180</v>
      </c>
      <c r="Y40" s="173">
        <v>0.63958333333333328</v>
      </c>
      <c r="Z40" s="173">
        <v>0.64722222222222225</v>
      </c>
      <c r="AA40" s="173">
        <f t="shared" si="16"/>
        <v>7.6388888888889728E-3</v>
      </c>
      <c r="AB40" s="176"/>
      <c r="AC40" s="173">
        <v>0.64861111111111114</v>
      </c>
      <c r="AD40" s="173">
        <v>0.64861111111111114</v>
      </c>
      <c r="AE40" s="173">
        <f t="shared" si="17"/>
        <v>0</v>
      </c>
      <c r="AF40" s="177">
        <f t="shared" si="18"/>
        <v>4.5138888888889062E-2</v>
      </c>
      <c r="AG40" s="176">
        <f t="shared" si="19"/>
        <v>798</v>
      </c>
      <c r="AH40" s="177">
        <f t="shared" si="20"/>
        <v>9.3442622950819666E-3</v>
      </c>
      <c r="AI40" s="177">
        <f t="shared" si="21"/>
        <v>5.4483151183971026E-2</v>
      </c>
      <c r="AJ40" s="187"/>
    </row>
    <row r="41" spans="1:40" s="8" customFormat="1" ht="20.55" customHeight="1">
      <c r="A41" s="20" t="s">
        <v>104</v>
      </c>
      <c r="B41" s="183" t="s">
        <v>32</v>
      </c>
      <c r="C41" s="192" t="s">
        <v>33</v>
      </c>
      <c r="D41" s="193" t="s">
        <v>21</v>
      </c>
      <c r="E41" s="174">
        <v>0.52916666666666667</v>
      </c>
      <c r="F41" s="174">
        <v>0.52986111111111112</v>
      </c>
      <c r="G41" s="173">
        <f t="shared" si="11"/>
        <v>6.9444444444444198E-4</v>
      </c>
      <c r="H41" s="208">
        <v>114.16</v>
      </c>
      <c r="I41" s="173">
        <v>0.53888888888888886</v>
      </c>
      <c r="J41" s="173">
        <v>0.54236111111111118</v>
      </c>
      <c r="K41" s="173">
        <f t="shared" si="12"/>
        <v>3.4722222222223209E-3</v>
      </c>
      <c r="L41" s="175">
        <v>76.540000000000006</v>
      </c>
      <c r="M41" s="173">
        <v>0.55486111111111114</v>
      </c>
      <c r="N41" s="173">
        <v>0.55763888888888891</v>
      </c>
      <c r="O41" s="173">
        <f t="shared" si="13"/>
        <v>2.7777777777777679E-3</v>
      </c>
      <c r="P41" s="208">
        <v>165.95</v>
      </c>
      <c r="Q41" s="174">
        <v>0.5805555555555556</v>
      </c>
      <c r="R41" s="174">
        <v>0.58402777777777781</v>
      </c>
      <c r="S41" s="173">
        <f t="shared" si="14"/>
        <v>3.4722222222222099E-3</v>
      </c>
      <c r="T41" s="175">
        <v>120.38</v>
      </c>
      <c r="U41" s="174">
        <v>0.60972222222222217</v>
      </c>
      <c r="V41" s="173">
        <v>0.61111111111111105</v>
      </c>
      <c r="W41" s="173">
        <f t="shared" si="15"/>
        <v>1.388888888888884E-3</v>
      </c>
      <c r="X41" s="175">
        <v>73.599999999999994</v>
      </c>
      <c r="Y41" s="173">
        <v>0.62222222222222223</v>
      </c>
      <c r="Z41" s="173">
        <v>0.62708333333333333</v>
      </c>
      <c r="AA41" s="173">
        <f t="shared" si="16"/>
        <v>4.8611111111110938E-3</v>
      </c>
      <c r="AB41" s="176"/>
      <c r="AC41" s="173">
        <v>0.63055555555555554</v>
      </c>
      <c r="AD41" s="173">
        <v>0.63124999999999998</v>
      </c>
      <c r="AE41" s="173">
        <f t="shared" si="17"/>
        <v>6.9444444444444198E-4</v>
      </c>
      <c r="AF41" s="177">
        <f t="shared" si="18"/>
        <v>1.736111111111116E-2</v>
      </c>
      <c r="AG41" s="176">
        <f t="shared" si="19"/>
        <v>550.63</v>
      </c>
      <c r="AH41" s="177">
        <f t="shared" si="20"/>
        <v>6.4476580796252927E-3</v>
      </c>
      <c r="AI41" s="177">
        <f t="shared" si="21"/>
        <v>2.3808769190736455E-2</v>
      </c>
      <c r="AJ41" s="186"/>
    </row>
    <row r="42" spans="1:40" ht="20.55" customHeight="1">
      <c r="A42" s="20" t="s">
        <v>104</v>
      </c>
      <c r="B42" s="183" t="s">
        <v>66</v>
      </c>
      <c r="C42" s="187" t="s">
        <v>67</v>
      </c>
      <c r="D42" s="207" t="s">
        <v>21</v>
      </c>
      <c r="E42" s="174">
        <v>0.44930555555555557</v>
      </c>
      <c r="F42" s="174">
        <v>0.45208333333333334</v>
      </c>
      <c r="G42" s="173">
        <f t="shared" si="11"/>
        <v>2.7777777777777679E-3</v>
      </c>
      <c r="H42" s="208">
        <v>153.29</v>
      </c>
      <c r="I42" s="173">
        <v>0.47916666666666669</v>
      </c>
      <c r="J42" s="173">
        <v>0.48333333333333334</v>
      </c>
      <c r="K42" s="173">
        <f t="shared" si="12"/>
        <v>4.1666666666666519E-3</v>
      </c>
      <c r="L42" s="175">
        <v>118.16</v>
      </c>
      <c r="M42" s="173">
        <v>0.50069444444444444</v>
      </c>
      <c r="N42" s="173">
        <v>0.50347222222222221</v>
      </c>
      <c r="O42" s="173">
        <f t="shared" si="13"/>
        <v>2.7777777777777679E-3</v>
      </c>
      <c r="P42" s="208">
        <v>151.33000000000001</v>
      </c>
      <c r="Q42" s="174">
        <v>0.54791666666666672</v>
      </c>
      <c r="R42" s="174">
        <v>0.55069444444444449</v>
      </c>
      <c r="S42" s="173">
        <f t="shared" si="14"/>
        <v>2.7777777777777679E-3</v>
      </c>
      <c r="T42" s="175">
        <v>180</v>
      </c>
      <c r="U42" s="174">
        <v>0.57708333333333328</v>
      </c>
      <c r="V42" s="173">
        <v>0.57986111111111105</v>
      </c>
      <c r="W42" s="173">
        <f t="shared" si="15"/>
        <v>2.7777777777777679E-3</v>
      </c>
      <c r="X42" s="175">
        <v>92.8</v>
      </c>
      <c r="Y42" s="173">
        <v>0.58958333333333335</v>
      </c>
      <c r="Z42" s="173">
        <v>0.59513888888888888</v>
      </c>
      <c r="AA42" s="173">
        <f t="shared" si="16"/>
        <v>5.5555555555555358E-3</v>
      </c>
      <c r="AB42" s="176"/>
      <c r="AC42" s="173">
        <v>0.6</v>
      </c>
      <c r="AD42" s="173">
        <v>0.6</v>
      </c>
      <c r="AE42" s="173">
        <f t="shared" si="17"/>
        <v>0</v>
      </c>
      <c r="AF42" s="177">
        <f t="shared" si="18"/>
        <v>2.0833333333333259E-2</v>
      </c>
      <c r="AG42" s="176">
        <f t="shared" si="19"/>
        <v>695.57999999999993</v>
      </c>
      <c r="AH42" s="177">
        <f t="shared" si="20"/>
        <v>8.1449648711943781E-3</v>
      </c>
      <c r="AI42" s="177">
        <f t="shared" si="21"/>
        <v>2.8978298204527637E-2</v>
      </c>
      <c r="AJ42" s="187"/>
    </row>
    <row r="43" spans="1:40" s="8" customFormat="1" ht="20.55" customHeight="1">
      <c r="A43" s="21" t="s">
        <v>18</v>
      </c>
      <c r="B43" s="183" t="s">
        <v>70</v>
      </c>
      <c r="C43" s="201" t="s">
        <v>71</v>
      </c>
      <c r="D43" s="204" t="s">
        <v>21</v>
      </c>
      <c r="E43" s="174">
        <v>0.33402777777777781</v>
      </c>
      <c r="F43" s="174">
        <v>0.33680555555555558</v>
      </c>
      <c r="G43" s="173">
        <f t="shared" si="11"/>
        <v>2.7777777777777679E-3</v>
      </c>
      <c r="H43" s="208">
        <v>165.22</v>
      </c>
      <c r="I43" s="173">
        <v>0.36388888888888887</v>
      </c>
      <c r="J43" s="173">
        <v>0.37291666666666662</v>
      </c>
      <c r="K43" s="173">
        <f t="shared" si="12"/>
        <v>9.0277777777777457E-3</v>
      </c>
      <c r="L43" s="175">
        <v>180</v>
      </c>
      <c r="M43" s="173">
        <v>0.38611111111111113</v>
      </c>
      <c r="N43" s="173">
        <v>0.39305555555555555</v>
      </c>
      <c r="O43" s="173">
        <f t="shared" si="13"/>
        <v>6.9444444444444198E-3</v>
      </c>
      <c r="P43" s="175">
        <v>199</v>
      </c>
      <c r="Q43" s="174">
        <v>0.39999999999999997</v>
      </c>
      <c r="R43" s="174">
        <v>0.41666666666666669</v>
      </c>
      <c r="S43" s="173">
        <f t="shared" si="14"/>
        <v>1.6666666666666718E-2</v>
      </c>
      <c r="T43" s="175">
        <v>180</v>
      </c>
      <c r="U43" s="174">
        <v>0.43124999999999997</v>
      </c>
      <c r="V43" s="173">
        <v>0.43888888888888888</v>
      </c>
      <c r="W43" s="173">
        <f t="shared" si="15"/>
        <v>7.6388888888889173E-3</v>
      </c>
      <c r="X43" s="175">
        <v>180</v>
      </c>
      <c r="Y43" s="173">
        <v>0.45</v>
      </c>
      <c r="Z43" s="173">
        <v>0.46180555555555558</v>
      </c>
      <c r="AA43" s="173">
        <f t="shared" si="16"/>
        <v>1.1805555555555569E-2</v>
      </c>
      <c r="AB43" s="176"/>
      <c r="AC43" s="173">
        <v>0.46597222222222223</v>
      </c>
      <c r="AD43" s="173">
        <v>0.46597222222222223</v>
      </c>
      <c r="AE43" s="173">
        <f t="shared" si="17"/>
        <v>0</v>
      </c>
      <c r="AF43" s="177">
        <f t="shared" si="18"/>
        <v>5.4861111111111138E-2</v>
      </c>
      <c r="AG43" s="176">
        <f t="shared" si="19"/>
        <v>904.22</v>
      </c>
      <c r="AH43" s="177">
        <f t="shared" si="20"/>
        <v>1.0588056206088993E-2</v>
      </c>
      <c r="AI43" s="177">
        <f t="shared" si="21"/>
        <v>6.544916731720013E-2</v>
      </c>
      <c r="AJ43" s="187"/>
    </row>
    <row r="44" spans="1:40" ht="20.55" customHeight="1">
      <c r="A44" s="20" t="s">
        <v>111</v>
      </c>
      <c r="B44" s="183" t="s">
        <v>139</v>
      </c>
      <c r="C44" s="192" t="s">
        <v>140</v>
      </c>
      <c r="D44" s="193" t="s">
        <v>21</v>
      </c>
      <c r="E44" s="174">
        <v>0.54513888888888895</v>
      </c>
      <c r="F44" s="174">
        <v>0.54583333333333328</v>
      </c>
      <c r="G44" s="173">
        <f t="shared" si="11"/>
        <v>6.9444444444433095E-4</v>
      </c>
      <c r="H44" s="208">
        <v>137.47</v>
      </c>
      <c r="I44" s="173">
        <v>0.57847222222222217</v>
      </c>
      <c r="J44" s="173">
        <v>0.59027777777777779</v>
      </c>
      <c r="K44" s="173">
        <f t="shared" si="12"/>
        <v>1.1805555555555625E-2</v>
      </c>
      <c r="L44" s="175">
        <v>92.6</v>
      </c>
      <c r="M44" s="173">
        <v>0.59861111111111109</v>
      </c>
      <c r="N44" s="173">
        <v>0.60416666666666663</v>
      </c>
      <c r="O44" s="173">
        <f t="shared" si="13"/>
        <v>5.5555555555555358E-3</v>
      </c>
      <c r="P44" s="175">
        <v>199</v>
      </c>
      <c r="Q44" s="174">
        <v>0.61111111111111105</v>
      </c>
      <c r="R44" s="174">
        <v>0.62152777777777779</v>
      </c>
      <c r="S44" s="173">
        <f t="shared" si="14"/>
        <v>1.0416666666666741E-2</v>
      </c>
      <c r="T44" s="175">
        <v>149.12</v>
      </c>
      <c r="U44" s="174">
        <v>0.63402777777777775</v>
      </c>
      <c r="V44" s="173">
        <v>0.64097222222222217</v>
      </c>
      <c r="W44" s="173">
        <f t="shared" si="15"/>
        <v>6.9444444444444198E-3</v>
      </c>
      <c r="X44" s="175">
        <v>101.38</v>
      </c>
      <c r="Y44" s="173">
        <v>0.65277777777777779</v>
      </c>
      <c r="Z44" s="173">
        <v>0.66666666666666663</v>
      </c>
      <c r="AA44" s="173">
        <f t="shared" si="16"/>
        <v>1.388888888888884E-2</v>
      </c>
      <c r="AB44" s="175">
        <v>5</v>
      </c>
      <c r="AC44" s="173">
        <v>0.67291666666666661</v>
      </c>
      <c r="AD44" s="173">
        <v>0.67361111111111116</v>
      </c>
      <c r="AE44" s="173">
        <f t="shared" si="17"/>
        <v>6.94444444444553E-4</v>
      </c>
      <c r="AF44" s="210">
        <f t="shared" si="18"/>
        <v>5.0000000000000044E-2</v>
      </c>
      <c r="AG44" s="176">
        <f t="shared" si="19"/>
        <v>674.57</v>
      </c>
      <c r="AH44" s="177">
        <f t="shared" si="20"/>
        <v>7.898946135831383E-3</v>
      </c>
      <c r="AI44" s="210">
        <f t="shared" si="21"/>
        <v>5.7898946135831429E-2</v>
      </c>
      <c r="AJ44" s="187"/>
    </row>
    <row r="45" spans="1:40" s="8" customFormat="1" ht="20.55" customHeight="1">
      <c r="A45" s="20" t="s">
        <v>111</v>
      </c>
      <c r="B45" s="183" t="s">
        <v>125</v>
      </c>
      <c r="C45" s="192" t="s">
        <v>126</v>
      </c>
      <c r="D45" s="193" t="s">
        <v>21</v>
      </c>
      <c r="E45" s="174">
        <v>0.52986111111111112</v>
      </c>
      <c r="F45" s="174">
        <v>1247.5326388888889</v>
      </c>
      <c r="G45" s="173">
        <f t="shared" si="11"/>
        <v>1247.0027777777777</v>
      </c>
      <c r="H45" s="208">
        <v>164.94</v>
      </c>
      <c r="I45" s="173">
        <v>0.56388888888888888</v>
      </c>
      <c r="J45" s="173">
        <v>0.5756944444444444</v>
      </c>
      <c r="K45" s="173">
        <f t="shared" si="12"/>
        <v>1.1805555555555514E-2</v>
      </c>
      <c r="L45" s="175">
        <v>117.8</v>
      </c>
      <c r="M45" s="173">
        <v>0.58611111111111114</v>
      </c>
      <c r="N45" s="173">
        <v>0.59166666666666667</v>
      </c>
      <c r="O45" s="173">
        <f t="shared" si="13"/>
        <v>5.5555555555555358E-3</v>
      </c>
      <c r="P45" s="175">
        <v>199</v>
      </c>
      <c r="Q45" s="174">
        <v>0.60625000000000007</v>
      </c>
      <c r="R45" s="174">
        <v>0.61388888888888882</v>
      </c>
      <c r="S45" s="173">
        <f t="shared" si="14"/>
        <v>7.6388888888887507E-3</v>
      </c>
      <c r="T45" s="175">
        <v>180</v>
      </c>
      <c r="U45" s="174">
        <v>0.63124999999999998</v>
      </c>
      <c r="V45" s="173">
        <v>0.63680555555555551</v>
      </c>
      <c r="W45" s="173">
        <f t="shared" si="15"/>
        <v>5.5555555555555358E-3</v>
      </c>
      <c r="X45" s="175">
        <v>180</v>
      </c>
      <c r="Y45" s="173">
        <v>0.64583333333333337</v>
      </c>
      <c r="Z45" s="173">
        <v>0.65763888888888888</v>
      </c>
      <c r="AA45" s="173">
        <f t="shared" si="16"/>
        <v>1.1805555555555514E-2</v>
      </c>
      <c r="AB45" s="176"/>
      <c r="AC45" s="173">
        <v>0.66111111111111109</v>
      </c>
      <c r="AD45" s="173">
        <v>0.66180555555555554</v>
      </c>
      <c r="AE45" s="173">
        <f t="shared" si="17"/>
        <v>6.9444444444444198E-4</v>
      </c>
      <c r="AF45" s="210">
        <f t="shared" si="18"/>
        <v>1247.0458333333331</v>
      </c>
      <c r="AG45" s="176">
        <f t="shared" si="19"/>
        <v>841.74</v>
      </c>
      <c r="AH45" s="177">
        <f t="shared" si="20"/>
        <v>9.8564402810304447E-3</v>
      </c>
      <c r="AI45" s="210">
        <f t="shared" si="21"/>
        <v>1247.0556897736142</v>
      </c>
      <c r="AJ45" s="187"/>
      <c r="AN45" s="209"/>
    </row>
    <row r="46" spans="1:40" ht="20.55" customHeight="1">
      <c r="A46" s="20" t="s">
        <v>111</v>
      </c>
      <c r="B46" s="183" t="s">
        <v>123</v>
      </c>
      <c r="C46" s="192" t="s">
        <v>124</v>
      </c>
      <c r="D46" s="193" t="s">
        <v>21</v>
      </c>
      <c r="E46" s="174">
        <v>0.52986111111111112</v>
      </c>
      <c r="F46" s="174">
        <v>0.53263888888888888</v>
      </c>
      <c r="G46" s="173">
        <f t="shared" si="11"/>
        <v>2.7777777777777679E-3</v>
      </c>
      <c r="H46" s="208">
        <v>154.30000000000001</v>
      </c>
      <c r="I46" s="173">
        <v>0.56944444444444442</v>
      </c>
      <c r="J46" s="173">
        <v>0.5756944444444444</v>
      </c>
      <c r="K46" s="173">
        <f t="shared" si="12"/>
        <v>6.2499999999999778E-3</v>
      </c>
      <c r="L46" s="175">
        <v>89.54</v>
      </c>
      <c r="M46" s="173">
        <v>0.58611111111111114</v>
      </c>
      <c r="N46" s="173">
        <v>0.59166666666666667</v>
      </c>
      <c r="O46" s="173">
        <f t="shared" si="13"/>
        <v>5.5555555555555358E-3</v>
      </c>
      <c r="P46" s="175">
        <v>199</v>
      </c>
      <c r="Q46" s="174">
        <v>0.6020833333333333</v>
      </c>
      <c r="R46" s="174">
        <v>0.60833333333333328</v>
      </c>
      <c r="S46" s="173">
        <f t="shared" si="14"/>
        <v>6.2499999999999778E-3</v>
      </c>
      <c r="T46" s="175">
        <v>180</v>
      </c>
      <c r="U46" s="174">
        <v>0.62847222222222221</v>
      </c>
      <c r="V46" s="173">
        <v>0.6333333333333333</v>
      </c>
      <c r="W46" s="173">
        <f t="shared" si="15"/>
        <v>4.8611111111110938E-3</v>
      </c>
      <c r="X46" s="175">
        <v>126.05</v>
      </c>
      <c r="Y46" s="173">
        <v>0.64236111111111105</v>
      </c>
      <c r="Z46" s="173">
        <v>0.65277777777777779</v>
      </c>
      <c r="AA46" s="173">
        <f t="shared" si="16"/>
        <v>1.0416666666666741E-2</v>
      </c>
      <c r="AB46" s="176">
        <v>5</v>
      </c>
      <c r="AC46" s="173">
        <v>0.65555555555555556</v>
      </c>
      <c r="AD46" s="173">
        <v>0.65555555555555556</v>
      </c>
      <c r="AE46" s="173">
        <f t="shared" si="17"/>
        <v>0</v>
      </c>
      <c r="AF46" s="177">
        <f t="shared" si="18"/>
        <v>3.6111111111111094E-2</v>
      </c>
      <c r="AG46" s="176">
        <f t="shared" si="19"/>
        <v>743.89</v>
      </c>
      <c r="AH46" s="177">
        <f t="shared" si="20"/>
        <v>8.7106557377049174E-3</v>
      </c>
      <c r="AI46" s="177">
        <f t="shared" si="21"/>
        <v>4.482176684881601E-2</v>
      </c>
      <c r="AJ46" s="187"/>
    </row>
    <row r="47" spans="1:40" s="8" customFormat="1" ht="20.55" customHeight="1">
      <c r="A47" s="20" t="s">
        <v>111</v>
      </c>
      <c r="B47" s="183" t="s">
        <v>54</v>
      </c>
      <c r="C47" s="190" t="s">
        <v>55</v>
      </c>
      <c r="D47" s="191" t="s">
        <v>21</v>
      </c>
      <c r="E47" s="174">
        <v>0.52916666666666667</v>
      </c>
      <c r="F47" s="174">
        <v>0.53055555555555556</v>
      </c>
      <c r="G47" s="173">
        <f t="shared" si="11"/>
        <v>1.388888888888884E-3</v>
      </c>
      <c r="H47" s="208">
        <v>121.89</v>
      </c>
      <c r="I47" s="173">
        <v>0.55347222222222225</v>
      </c>
      <c r="J47" s="173">
        <v>0.55763888888888891</v>
      </c>
      <c r="K47" s="173">
        <f t="shared" si="12"/>
        <v>4.1666666666666519E-3</v>
      </c>
      <c r="L47" s="175">
        <v>117</v>
      </c>
      <c r="M47" s="173">
        <v>0.56319444444444444</v>
      </c>
      <c r="N47" s="173">
        <v>0.56736111111111109</v>
      </c>
      <c r="O47" s="173">
        <f t="shared" si="13"/>
        <v>4.1666666666666519E-3</v>
      </c>
      <c r="P47" s="208">
        <v>182.11</v>
      </c>
      <c r="Q47" s="174">
        <v>0.58750000000000002</v>
      </c>
      <c r="R47" s="174">
        <v>0.59097222222222223</v>
      </c>
      <c r="S47" s="173">
        <f t="shared" si="14"/>
        <v>3.4722222222222099E-3</v>
      </c>
      <c r="T47" s="175">
        <v>178.77</v>
      </c>
      <c r="U47" s="174">
        <v>0.6166666666666667</v>
      </c>
      <c r="V47" s="173">
        <v>0.61875000000000002</v>
      </c>
      <c r="W47" s="173">
        <f t="shared" si="15"/>
        <v>2.0833333333333259E-3</v>
      </c>
      <c r="X47" s="175">
        <v>77.37</v>
      </c>
      <c r="Y47" s="173">
        <v>0.62569444444444444</v>
      </c>
      <c r="Z47" s="173">
        <v>0.63263888888888886</v>
      </c>
      <c r="AA47" s="173">
        <f t="shared" si="16"/>
        <v>6.9444444444444198E-3</v>
      </c>
      <c r="AB47" s="176"/>
      <c r="AC47" s="173">
        <v>0.63611111111111118</v>
      </c>
      <c r="AD47" s="173">
        <v>0.63611111111111118</v>
      </c>
      <c r="AE47" s="173">
        <f t="shared" si="17"/>
        <v>0</v>
      </c>
      <c r="AF47" s="177">
        <f t="shared" si="18"/>
        <v>2.2222222222222143E-2</v>
      </c>
      <c r="AG47" s="176">
        <f t="shared" si="19"/>
        <v>677.14</v>
      </c>
      <c r="AH47" s="177">
        <f t="shared" si="20"/>
        <v>7.9290398126463692E-3</v>
      </c>
      <c r="AI47" s="177">
        <f t="shared" si="21"/>
        <v>3.0151262034868512E-2</v>
      </c>
      <c r="AJ47" s="187"/>
    </row>
    <row r="48" spans="1:40" ht="20.55" customHeight="1">
      <c r="A48" s="21" t="s">
        <v>120</v>
      </c>
      <c r="B48" s="183" t="s">
        <v>121</v>
      </c>
      <c r="C48" s="192" t="s">
        <v>122</v>
      </c>
      <c r="D48" s="193" t="s">
        <v>21</v>
      </c>
      <c r="E48" s="174">
        <v>0.53402777777777777</v>
      </c>
      <c r="F48" s="174">
        <v>0.53611111111111109</v>
      </c>
      <c r="G48" s="173">
        <f t="shared" si="11"/>
        <v>2.0833333333333259E-3</v>
      </c>
      <c r="H48" s="208">
        <v>110.06</v>
      </c>
      <c r="I48" s="173">
        <v>0.55902777777777779</v>
      </c>
      <c r="J48" s="173">
        <v>0.56319444444444444</v>
      </c>
      <c r="K48" s="173">
        <f t="shared" si="12"/>
        <v>4.1666666666666519E-3</v>
      </c>
      <c r="L48" s="175">
        <v>68.930000000000007</v>
      </c>
      <c r="M48" s="173">
        <v>0.5708333333333333</v>
      </c>
      <c r="N48" s="173">
        <v>0.57430555555555551</v>
      </c>
      <c r="O48" s="173">
        <f t="shared" si="13"/>
        <v>3.4722222222222099E-3</v>
      </c>
      <c r="P48" s="175">
        <v>199</v>
      </c>
      <c r="Q48" s="174">
        <v>0.59236111111111112</v>
      </c>
      <c r="R48" s="174">
        <v>0.59652777777777777</v>
      </c>
      <c r="S48" s="173">
        <f t="shared" si="14"/>
        <v>4.1666666666666519E-3</v>
      </c>
      <c r="T48" s="175">
        <v>146.72</v>
      </c>
      <c r="U48" s="174">
        <v>0.61875000000000002</v>
      </c>
      <c r="V48" s="173">
        <v>0.62152777777777779</v>
      </c>
      <c r="W48" s="173">
        <f t="shared" si="15"/>
        <v>2.7777777777777679E-3</v>
      </c>
      <c r="X48" s="175">
        <v>91.03</v>
      </c>
      <c r="Y48" s="173">
        <v>0.62847222222222221</v>
      </c>
      <c r="Z48" s="173">
        <v>0.63541666666666663</v>
      </c>
      <c r="AA48" s="173">
        <f t="shared" si="16"/>
        <v>6.9444444444444198E-3</v>
      </c>
      <c r="AB48" s="176"/>
      <c r="AC48" s="173">
        <v>0.63888888888888895</v>
      </c>
      <c r="AD48" s="173">
        <v>0.63888888888888895</v>
      </c>
      <c r="AE48" s="173">
        <f t="shared" si="17"/>
        <v>0</v>
      </c>
      <c r="AF48" s="177">
        <f t="shared" si="18"/>
        <v>2.3611111111111027E-2</v>
      </c>
      <c r="AG48" s="176">
        <f t="shared" si="19"/>
        <v>615.74</v>
      </c>
      <c r="AH48" s="177">
        <f t="shared" si="20"/>
        <v>7.2100702576112412E-3</v>
      </c>
      <c r="AI48" s="177">
        <f t="shared" si="21"/>
        <v>3.0821181368722268E-2</v>
      </c>
      <c r="AJ48" s="187"/>
    </row>
    <row r="49" spans="1:36" s="8" customFormat="1" ht="20.55" customHeight="1">
      <c r="A49" s="21" t="s">
        <v>120</v>
      </c>
      <c r="B49" s="183" t="s">
        <v>19</v>
      </c>
      <c r="C49" s="192" t="s">
        <v>20</v>
      </c>
      <c r="D49" s="193" t="s">
        <v>21</v>
      </c>
      <c r="E49" s="174">
        <v>0.54513888888888895</v>
      </c>
      <c r="F49" s="174">
        <v>0.54791666666666672</v>
      </c>
      <c r="G49" s="173">
        <f t="shared" si="11"/>
        <v>2.7777777777777679E-3</v>
      </c>
      <c r="H49" s="208">
        <v>122.49</v>
      </c>
      <c r="I49" s="173">
        <v>0.58819444444444446</v>
      </c>
      <c r="J49" s="173">
        <v>0.59513888888888888</v>
      </c>
      <c r="K49" s="173">
        <f t="shared" si="12"/>
        <v>6.9444444444444198E-3</v>
      </c>
      <c r="L49" s="175">
        <v>111.94</v>
      </c>
      <c r="M49" s="173">
        <v>0.60347222222222219</v>
      </c>
      <c r="N49" s="173">
        <v>0.60972222222222217</v>
      </c>
      <c r="O49" s="173">
        <f t="shared" si="13"/>
        <v>6.2499999999999778E-3</v>
      </c>
      <c r="P49" s="208">
        <v>177.48</v>
      </c>
      <c r="Q49" s="174">
        <v>0.62013888888888891</v>
      </c>
      <c r="R49" s="174">
        <v>0.62569444444444444</v>
      </c>
      <c r="S49" s="173">
        <f t="shared" si="14"/>
        <v>5.5555555555555358E-3</v>
      </c>
      <c r="T49" s="175">
        <v>180</v>
      </c>
      <c r="U49" s="174">
        <v>0.63958333333333328</v>
      </c>
      <c r="V49" s="173">
        <v>0.64374999999999993</v>
      </c>
      <c r="W49" s="173">
        <f t="shared" si="15"/>
        <v>4.1666666666666519E-3</v>
      </c>
      <c r="X49" s="175">
        <v>101.83</v>
      </c>
      <c r="Y49" s="173">
        <v>0.65486111111111112</v>
      </c>
      <c r="Z49" s="173">
        <v>0.6645833333333333</v>
      </c>
      <c r="AA49" s="173">
        <f t="shared" si="16"/>
        <v>9.7222222222221877E-3</v>
      </c>
      <c r="AB49" s="176">
        <v>5</v>
      </c>
      <c r="AC49" s="173">
        <v>0.66736111111111107</v>
      </c>
      <c r="AD49" s="173">
        <v>0.66805555555555562</v>
      </c>
      <c r="AE49" s="173">
        <f t="shared" si="17"/>
        <v>6.94444444444553E-4</v>
      </c>
      <c r="AF49" s="177">
        <f t="shared" si="18"/>
        <v>3.6111111111111094E-2</v>
      </c>
      <c r="AG49" s="176">
        <f t="shared" si="19"/>
        <v>688.74</v>
      </c>
      <c r="AH49" s="177">
        <f t="shared" si="20"/>
        <v>8.0648711943793906E-3</v>
      </c>
      <c r="AI49" s="177">
        <f t="shared" si="21"/>
        <v>4.4175982305490483E-2</v>
      </c>
      <c r="AJ49" s="187"/>
    </row>
    <row r="50" spans="1:36" ht="20.55" customHeight="1">
      <c r="A50" s="21" t="s">
        <v>120</v>
      </c>
      <c r="B50" s="183" t="s">
        <v>30</v>
      </c>
      <c r="C50" s="192" t="s">
        <v>31</v>
      </c>
      <c r="D50" s="193" t="s">
        <v>21</v>
      </c>
      <c r="E50" s="174">
        <v>0.54513888888888895</v>
      </c>
      <c r="F50" s="174">
        <v>0.54652777777777783</v>
      </c>
      <c r="G50" s="173">
        <f t="shared" si="11"/>
        <v>1.388888888888884E-3</v>
      </c>
      <c r="H50" s="208">
        <v>152.13</v>
      </c>
      <c r="I50" s="173">
        <v>0.57291666666666663</v>
      </c>
      <c r="J50" s="173">
        <v>0.57708333333333328</v>
      </c>
      <c r="K50" s="173">
        <f t="shared" si="12"/>
        <v>4.1666666666666519E-3</v>
      </c>
      <c r="L50" s="175">
        <v>81</v>
      </c>
      <c r="M50" s="173">
        <v>0.58888888888888891</v>
      </c>
      <c r="N50" s="173">
        <v>0.59236111111111112</v>
      </c>
      <c r="O50" s="173">
        <f t="shared" si="13"/>
        <v>3.4722222222222099E-3</v>
      </c>
      <c r="P50" s="208">
        <v>166.28</v>
      </c>
      <c r="Q50" s="174">
        <v>0.59930555555555554</v>
      </c>
      <c r="R50" s="174">
        <v>0.60416666666666663</v>
      </c>
      <c r="S50" s="173">
        <f t="shared" si="14"/>
        <v>4.8611111111110938E-3</v>
      </c>
      <c r="T50" s="175">
        <v>151.59</v>
      </c>
      <c r="U50" s="174">
        <v>0.62013888888888891</v>
      </c>
      <c r="V50" s="173">
        <v>0.62291666666666667</v>
      </c>
      <c r="W50" s="173">
        <f t="shared" si="15"/>
        <v>2.7777777777777679E-3</v>
      </c>
      <c r="X50" s="175">
        <v>65.64</v>
      </c>
      <c r="Y50" s="173">
        <v>0.63194444444444442</v>
      </c>
      <c r="Z50" s="173">
        <v>0.63888888888888895</v>
      </c>
      <c r="AA50" s="173">
        <f t="shared" si="16"/>
        <v>6.9444444444445308E-3</v>
      </c>
      <c r="AB50" s="176">
        <v>5</v>
      </c>
      <c r="AC50" s="173">
        <v>0.64236111111111105</v>
      </c>
      <c r="AD50" s="173">
        <v>0.64236111111111105</v>
      </c>
      <c r="AE50" s="173">
        <f t="shared" si="17"/>
        <v>0</v>
      </c>
      <c r="AF50" s="177">
        <f t="shared" si="18"/>
        <v>2.3611111111111138E-2</v>
      </c>
      <c r="AG50" s="176">
        <f t="shared" si="19"/>
        <v>611.64</v>
      </c>
      <c r="AH50" s="177">
        <f t="shared" si="20"/>
        <v>7.1620608899297424E-3</v>
      </c>
      <c r="AI50" s="177">
        <f t="shared" si="21"/>
        <v>3.0773172001040881E-2</v>
      </c>
      <c r="AJ50" s="187"/>
    </row>
    <row r="51" spans="1:36" s="8" customFormat="1" ht="20.55" customHeight="1">
      <c r="A51" s="21" t="s">
        <v>120</v>
      </c>
      <c r="B51" s="183" t="s">
        <v>75</v>
      </c>
      <c r="C51" s="192" t="s">
        <v>76</v>
      </c>
      <c r="D51" s="193" t="s">
        <v>21</v>
      </c>
      <c r="E51" s="174">
        <v>0.54513888888888895</v>
      </c>
      <c r="F51" s="174">
        <v>0.54583333333333328</v>
      </c>
      <c r="G51" s="173">
        <f t="shared" si="11"/>
        <v>6.9444444444433095E-4</v>
      </c>
      <c r="H51" s="208">
        <v>180</v>
      </c>
      <c r="I51" s="173">
        <v>0.58472222222222225</v>
      </c>
      <c r="J51" s="173">
        <v>0.59027777777777779</v>
      </c>
      <c r="K51" s="173">
        <f t="shared" si="12"/>
        <v>5.5555555555555358E-3</v>
      </c>
      <c r="L51" s="175">
        <v>180</v>
      </c>
      <c r="M51" s="173">
        <v>0.59861111111111109</v>
      </c>
      <c r="N51" s="173">
        <v>0.60416666666666663</v>
      </c>
      <c r="O51" s="173">
        <f t="shared" si="13"/>
        <v>5.5555555555555358E-3</v>
      </c>
      <c r="P51" s="175">
        <v>199</v>
      </c>
      <c r="Q51" s="174">
        <v>0.61458333333333337</v>
      </c>
      <c r="R51" s="174">
        <v>0.62222222222222223</v>
      </c>
      <c r="S51" s="173">
        <f t="shared" si="14"/>
        <v>7.6388888888888618E-3</v>
      </c>
      <c r="T51" s="175">
        <v>180</v>
      </c>
      <c r="U51" s="174">
        <v>0.63611111111111118</v>
      </c>
      <c r="V51" s="173">
        <v>0.64097222222222217</v>
      </c>
      <c r="W51" s="173">
        <f t="shared" si="15"/>
        <v>4.8611111111109828E-3</v>
      </c>
      <c r="X51" s="175">
        <v>180</v>
      </c>
      <c r="Y51" s="173">
        <v>0.65277777777777779</v>
      </c>
      <c r="Z51" s="173">
        <v>0.66666666666666663</v>
      </c>
      <c r="AA51" s="173">
        <f t="shared" si="16"/>
        <v>1.388888888888884E-2</v>
      </c>
      <c r="AB51" s="176">
        <v>5</v>
      </c>
      <c r="AC51" s="173">
        <v>0.66875000000000007</v>
      </c>
      <c r="AD51" s="173">
        <v>0.67083333333333339</v>
      </c>
      <c r="AE51" s="173">
        <f t="shared" si="17"/>
        <v>2.0833333333333259E-3</v>
      </c>
      <c r="AF51" s="177">
        <f t="shared" si="18"/>
        <v>4.0277777777777413E-2</v>
      </c>
      <c r="AG51" s="176">
        <f t="shared" si="19"/>
        <v>914</v>
      </c>
      <c r="AH51" s="177">
        <f t="shared" si="20"/>
        <v>1.0702576112412179E-2</v>
      </c>
      <c r="AI51" s="177">
        <f t="shared" si="21"/>
        <v>5.0980353890189595E-2</v>
      </c>
      <c r="AJ51" s="187"/>
    </row>
    <row r="52" spans="1:36" ht="20.55" customHeight="1">
      <c r="A52" s="22" t="s">
        <v>135</v>
      </c>
      <c r="B52" s="196" t="s">
        <v>127</v>
      </c>
      <c r="C52" s="202" t="s">
        <v>128</v>
      </c>
      <c r="D52" s="188" t="s">
        <v>21</v>
      </c>
      <c r="E52" s="174">
        <v>0.57708333333333328</v>
      </c>
      <c r="F52" s="174">
        <v>0.57847222222222217</v>
      </c>
      <c r="G52" s="173">
        <f t="shared" si="11"/>
        <v>1.388888888888884E-3</v>
      </c>
      <c r="H52" s="208">
        <v>115.17</v>
      </c>
      <c r="I52" s="173">
        <v>0.61111111111111105</v>
      </c>
      <c r="J52" s="173">
        <v>0.61388888888888882</v>
      </c>
      <c r="K52" s="173">
        <f t="shared" si="12"/>
        <v>2.7777777777777679E-3</v>
      </c>
      <c r="L52" s="175">
        <v>106.95</v>
      </c>
      <c r="M52" s="173">
        <v>0.62013888888888891</v>
      </c>
      <c r="N52" s="173">
        <v>0.62291666666666667</v>
      </c>
      <c r="O52" s="173">
        <f t="shared" si="13"/>
        <v>2.7777777777777679E-3</v>
      </c>
      <c r="P52" s="175">
        <v>199</v>
      </c>
      <c r="Q52" s="174">
        <v>0.63402777777777775</v>
      </c>
      <c r="R52" s="174">
        <v>0.63750000000000007</v>
      </c>
      <c r="S52" s="173">
        <f t="shared" si="14"/>
        <v>3.4722222222223209E-3</v>
      </c>
      <c r="T52" s="175">
        <v>141.94999999999999</v>
      </c>
      <c r="U52" s="174">
        <v>0.64930555555555558</v>
      </c>
      <c r="V52" s="173">
        <v>0.65138888888888891</v>
      </c>
      <c r="W52" s="173">
        <f t="shared" si="15"/>
        <v>2.0833333333333259E-3</v>
      </c>
      <c r="X52" s="175">
        <v>78.88</v>
      </c>
      <c r="Y52" s="173">
        <v>0.66111111111111109</v>
      </c>
      <c r="Z52" s="173">
        <v>0.66666666666666663</v>
      </c>
      <c r="AA52" s="173">
        <f t="shared" si="16"/>
        <v>5.5555555555555358E-3</v>
      </c>
      <c r="AB52" s="176">
        <v>5</v>
      </c>
      <c r="AC52" s="173">
        <v>0.67013888888888884</v>
      </c>
      <c r="AD52" s="173">
        <v>0.67083333333333339</v>
      </c>
      <c r="AE52" s="173">
        <f t="shared" si="17"/>
        <v>6.94444444444553E-4</v>
      </c>
      <c r="AF52" s="177">
        <f t="shared" si="18"/>
        <v>1.8750000000000155E-2</v>
      </c>
      <c r="AG52" s="176">
        <f t="shared" si="19"/>
        <v>636.94999999999993</v>
      </c>
      <c r="AH52" s="177">
        <f t="shared" si="20"/>
        <v>7.4584309133489454E-3</v>
      </c>
      <c r="AI52" s="177">
        <f t="shared" si="21"/>
        <v>2.6208430913349103E-2</v>
      </c>
      <c r="AJ52" s="187"/>
    </row>
    <row r="53" spans="1:36" s="8" customFormat="1" ht="20.55" customHeight="1">
      <c r="A53" s="23" t="s">
        <v>138</v>
      </c>
      <c r="B53" s="183" t="s">
        <v>22</v>
      </c>
      <c r="C53" s="192" t="s">
        <v>23</v>
      </c>
      <c r="D53" s="193" t="s">
        <v>21</v>
      </c>
      <c r="E53" s="174">
        <v>0.57708333333333328</v>
      </c>
      <c r="F53" s="174">
        <v>0.57847222222222217</v>
      </c>
      <c r="G53" s="173">
        <f t="shared" si="11"/>
        <v>1.388888888888884E-3</v>
      </c>
      <c r="H53" s="208">
        <v>116.59</v>
      </c>
      <c r="I53" s="173">
        <v>0.61597222222222225</v>
      </c>
      <c r="J53" s="173">
        <v>0.61944444444444446</v>
      </c>
      <c r="K53" s="173">
        <f t="shared" si="12"/>
        <v>3.4722222222222099E-3</v>
      </c>
      <c r="L53" s="175">
        <v>79.900000000000006</v>
      </c>
      <c r="M53" s="173">
        <v>0.62638888888888888</v>
      </c>
      <c r="N53" s="173">
        <v>0.62916666666666665</v>
      </c>
      <c r="O53" s="173">
        <f t="shared" si="13"/>
        <v>2.7777777777777679E-3</v>
      </c>
      <c r="P53" s="208">
        <v>197.23</v>
      </c>
      <c r="Q53" s="174">
        <v>0.64097222222222217</v>
      </c>
      <c r="R53" s="174">
        <v>0.64513888888888882</v>
      </c>
      <c r="S53" s="173">
        <f t="shared" si="14"/>
        <v>4.1666666666666519E-3</v>
      </c>
      <c r="T53" s="175">
        <v>137.52000000000001</v>
      </c>
      <c r="U53" s="174">
        <v>0.65208333333333335</v>
      </c>
      <c r="V53" s="173">
        <v>0.65555555555555556</v>
      </c>
      <c r="W53" s="173">
        <f t="shared" si="15"/>
        <v>3.4722222222222099E-3</v>
      </c>
      <c r="X53" s="175">
        <v>77.42</v>
      </c>
      <c r="Y53" s="173">
        <v>0.66875000000000007</v>
      </c>
      <c r="Z53" s="173">
        <v>0.67569444444444438</v>
      </c>
      <c r="AA53" s="173">
        <f t="shared" si="16"/>
        <v>6.9444444444443088E-3</v>
      </c>
      <c r="AB53" s="176"/>
      <c r="AC53" s="173">
        <v>0.6791666666666667</v>
      </c>
      <c r="AD53" s="173">
        <v>0.6791666666666667</v>
      </c>
      <c r="AE53" s="173">
        <f t="shared" si="17"/>
        <v>0</v>
      </c>
      <c r="AF53" s="177">
        <f t="shared" si="18"/>
        <v>2.2222222222222032E-2</v>
      </c>
      <c r="AG53" s="176">
        <f t="shared" si="19"/>
        <v>608.66</v>
      </c>
      <c r="AH53" s="177">
        <f t="shared" si="20"/>
        <v>7.1271662763466035E-3</v>
      </c>
      <c r="AI53" s="177">
        <f t="shared" si="21"/>
        <v>2.9349388498568635E-2</v>
      </c>
      <c r="AJ53" s="187"/>
    </row>
    <row r="54" spans="1:36" s="8" customFormat="1" ht="20.55" customHeight="1">
      <c r="A54" s="23" t="s">
        <v>141</v>
      </c>
      <c r="B54" s="183" t="s">
        <v>61</v>
      </c>
      <c r="C54" s="199" t="s">
        <v>62</v>
      </c>
      <c r="D54" s="204" t="s">
        <v>21</v>
      </c>
      <c r="E54" s="174">
        <v>0.57847222222222217</v>
      </c>
      <c r="F54" s="174">
        <v>0.57986111111111105</v>
      </c>
      <c r="G54" s="173">
        <f t="shared" si="11"/>
        <v>1.388888888888884E-3</v>
      </c>
      <c r="H54" s="208">
        <v>134.61000000000001</v>
      </c>
      <c r="I54" s="173">
        <v>0.62222222222222223</v>
      </c>
      <c r="J54" s="173">
        <v>0.63680555555555551</v>
      </c>
      <c r="K54" s="173">
        <f t="shared" si="12"/>
        <v>1.4583333333333282E-2</v>
      </c>
      <c r="L54" s="175">
        <v>103.26</v>
      </c>
      <c r="M54" s="173">
        <v>0.63263888888888886</v>
      </c>
      <c r="N54" s="173">
        <v>0.63680555555555551</v>
      </c>
      <c r="O54" s="173">
        <f t="shared" si="13"/>
        <v>4.1666666666666519E-3</v>
      </c>
      <c r="P54" s="208">
        <v>179.1</v>
      </c>
      <c r="Q54" s="174">
        <v>0.64722222222222225</v>
      </c>
      <c r="R54" s="174">
        <v>0.65208333333333335</v>
      </c>
      <c r="S54" s="173">
        <f t="shared" si="14"/>
        <v>4.8611111111110938E-3</v>
      </c>
      <c r="T54" s="175">
        <v>180</v>
      </c>
      <c r="U54" s="174">
        <v>0.65902777777777777</v>
      </c>
      <c r="V54" s="173">
        <v>0.6645833333333333</v>
      </c>
      <c r="W54" s="173">
        <f t="shared" si="15"/>
        <v>5.5555555555555358E-3</v>
      </c>
      <c r="X54" s="175">
        <v>150.38</v>
      </c>
      <c r="Y54" s="173">
        <v>0.67361111111111116</v>
      </c>
      <c r="Z54" s="173">
        <v>0.68194444444444446</v>
      </c>
      <c r="AA54" s="173">
        <f t="shared" si="16"/>
        <v>8.3333333333333037E-3</v>
      </c>
      <c r="AB54" s="176"/>
      <c r="AC54" s="173">
        <v>0.68402777777777779</v>
      </c>
      <c r="AD54" s="173">
        <v>0.68472222222222223</v>
      </c>
      <c r="AE54" s="173">
        <f t="shared" si="17"/>
        <v>6.9444444444444198E-4</v>
      </c>
      <c r="AF54" s="177">
        <f t="shared" si="18"/>
        <v>3.9583333333333193E-2</v>
      </c>
      <c r="AG54" s="176">
        <f t="shared" si="19"/>
        <v>747.35</v>
      </c>
      <c r="AH54" s="177">
        <f t="shared" si="20"/>
        <v>8.7511709601873541E-3</v>
      </c>
      <c r="AI54" s="177">
        <f t="shared" si="21"/>
        <v>4.8334504293520549E-2</v>
      </c>
      <c r="AJ54" s="187"/>
    </row>
    <row r="55" spans="1:36" s="9" customFormat="1" ht="19.2" customHeight="1">
      <c r="A55" s="22" t="s">
        <v>36</v>
      </c>
      <c r="B55" s="183" t="s">
        <v>159</v>
      </c>
      <c r="C55" s="182" t="s">
        <v>160</v>
      </c>
      <c r="D55" s="207" t="s">
        <v>147</v>
      </c>
      <c r="E55" s="174">
        <v>0.34791666666666665</v>
      </c>
      <c r="F55" s="174">
        <v>0.34930555555555554</v>
      </c>
      <c r="G55" s="173">
        <f t="shared" si="11"/>
        <v>1.388888888888884E-3</v>
      </c>
      <c r="H55" s="208">
        <v>107.82</v>
      </c>
      <c r="I55" s="173">
        <v>0.37916666666666665</v>
      </c>
      <c r="J55" s="173">
        <v>0.3833333333333333</v>
      </c>
      <c r="K55" s="173">
        <f t="shared" si="12"/>
        <v>4.1666666666666519E-3</v>
      </c>
      <c r="L55" s="175">
        <v>65.75</v>
      </c>
      <c r="M55" s="173">
        <v>0.39930555555555558</v>
      </c>
      <c r="N55" s="173">
        <v>0.40416666666666662</v>
      </c>
      <c r="O55" s="173">
        <f t="shared" si="13"/>
        <v>4.8611111111110383E-3</v>
      </c>
      <c r="P55" s="208">
        <v>164.13</v>
      </c>
      <c r="Q55" s="174">
        <v>0.42777777777777781</v>
      </c>
      <c r="R55" s="174">
        <v>0.43263888888888885</v>
      </c>
      <c r="S55" s="173">
        <f t="shared" si="14"/>
        <v>4.8611111111110383E-3</v>
      </c>
      <c r="T55" s="175">
        <v>129.71</v>
      </c>
      <c r="U55" s="174">
        <v>0.44791666666666669</v>
      </c>
      <c r="V55" s="173">
        <v>0.45069444444444445</v>
      </c>
      <c r="W55" s="173">
        <f t="shared" si="15"/>
        <v>2.7777777777777679E-3</v>
      </c>
      <c r="X55" s="175">
        <v>68.650000000000006</v>
      </c>
      <c r="Y55" s="173">
        <v>0.46111111111111108</v>
      </c>
      <c r="Z55" s="173">
        <v>0.4680555555555555</v>
      </c>
      <c r="AA55" s="173">
        <f t="shared" si="16"/>
        <v>6.9444444444444198E-3</v>
      </c>
      <c r="AB55" s="176">
        <v>5</v>
      </c>
      <c r="AC55" s="173">
        <v>0.47222222222222227</v>
      </c>
      <c r="AD55" s="173">
        <v>0.47291666666666665</v>
      </c>
      <c r="AE55" s="173">
        <f t="shared" si="17"/>
        <v>6.9444444444438647E-4</v>
      </c>
      <c r="AF55" s="177">
        <f t="shared" si="18"/>
        <v>2.5694444444444187E-2</v>
      </c>
      <c r="AG55" s="176">
        <f t="shared" si="19"/>
        <v>531.05999999999995</v>
      </c>
      <c r="AH55" s="177">
        <f t="shared" si="20"/>
        <v>6.2185011709601865E-3</v>
      </c>
      <c r="AI55" s="177">
        <f t="shared" si="21"/>
        <v>3.1912945615404371E-2</v>
      </c>
      <c r="AJ55" s="187"/>
    </row>
    <row r="56" spans="1:36">
      <c r="A56" s="22" t="s">
        <v>36</v>
      </c>
      <c r="B56" s="183" t="s">
        <v>167</v>
      </c>
      <c r="C56" s="182" t="s">
        <v>168</v>
      </c>
      <c r="D56" s="185" t="s">
        <v>147</v>
      </c>
      <c r="E56" s="174">
        <v>0.34791666666666665</v>
      </c>
      <c r="F56" s="174">
        <v>0.34930555555555554</v>
      </c>
      <c r="G56" s="173">
        <f t="shared" si="11"/>
        <v>1.388888888888884E-3</v>
      </c>
      <c r="H56" s="208">
        <v>138.66</v>
      </c>
      <c r="I56" s="173">
        <v>0.38194444444444442</v>
      </c>
      <c r="J56" s="173">
        <v>0.38680555555555557</v>
      </c>
      <c r="K56" s="173">
        <f t="shared" si="12"/>
        <v>4.8611111111111494E-3</v>
      </c>
      <c r="L56" s="175">
        <v>83.45</v>
      </c>
      <c r="M56" s="173">
        <v>0.3972222222222222</v>
      </c>
      <c r="N56" s="173">
        <v>0.40416666666666662</v>
      </c>
      <c r="O56" s="173">
        <f t="shared" si="13"/>
        <v>6.9444444444444198E-3</v>
      </c>
      <c r="P56" s="208">
        <v>192.39</v>
      </c>
      <c r="Q56" s="174">
        <v>0.42499999999999999</v>
      </c>
      <c r="R56" s="174">
        <v>0.43263888888888885</v>
      </c>
      <c r="S56" s="173">
        <f t="shared" si="14"/>
        <v>7.6388888888888618E-3</v>
      </c>
      <c r="T56" s="175">
        <v>180</v>
      </c>
      <c r="U56" s="174">
        <v>0.4368055555555555</v>
      </c>
      <c r="V56" s="173">
        <v>0.45069444444444445</v>
      </c>
      <c r="W56" s="173">
        <f t="shared" si="15"/>
        <v>1.3888888888888951E-2</v>
      </c>
      <c r="X56" s="175">
        <v>91.4</v>
      </c>
      <c r="Y56" s="173">
        <v>0.45763888888888887</v>
      </c>
      <c r="Z56" s="173">
        <v>0.4680555555555555</v>
      </c>
      <c r="AA56" s="173">
        <f t="shared" si="16"/>
        <v>1.041666666666663E-2</v>
      </c>
      <c r="AB56" s="176"/>
      <c r="AC56" s="173">
        <v>0.47222222222222227</v>
      </c>
      <c r="AD56" s="173">
        <v>0.47291666666666665</v>
      </c>
      <c r="AE56" s="173">
        <f t="shared" si="17"/>
        <v>6.9444444444438647E-4</v>
      </c>
      <c r="AF56" s="177">
        <f t="shared" si="18"/>
        <v>4.5833333333333282E-2</v>
      </c>
      <c r="AG56" s="176">
        <f t="shared" si="19"/>
        <v>685.9</v>
      </c>
      <c r="AH56" s="177">
        <f t="shared" si="20"/>
        <v>8.0316159250585478E-3</v>
      </c>
      <c r="AI56" s="177">
        <f t="shared" si="21"/>
        <v>5.3864949258391831E-2</v>
      </c>
      <c r="AJ56" s="187"/>
    </row>
    <row r="57" spans="1:36" ht="20.55" customHeight="1">
      <c r="A57" s="23" t="s">
        <v>41</v>
      </c>
      <c r="B57" s="183" t="s">
        <v>178</v>
      </c>
      <c r="C57" s="182" t="s">
        <v>179</v>
      </c>
      <c r="D57" s="188" t="s">
        <v>147</v>
      </c>
      <c r="E57" s="174">
        <v>0.35972222222222222</v>
      </c>
      <c r="F57" s="174">
        <v>0.36249999999999999</v>
      </c>
      <c r="G57" s="173">
        <f t="shared" si="11"/>
        <v>2.7777777777777679E-3</v>
      </c>
      <c r="H57" s="208">
        <v>126.17</v>
      </c>
      <c r="I57" s="173">
        <v>0.39097222222222222</v>
      </c>
      <c r="J57" s="173">
        <v>0.39999999999999997</v>
      </c>
      <c r="K57" s="173">
        <f t="shared" si="12"/>
        <v>9.0277777777777457E-3</v>
      </c>
      <c r="L57" s="175">
        <v>89.14</v>
      </c>
      <c r="M57" s="173">
        <v>0.41180555555555554</v>
      </c>
      <c r="N57" s="173">
        <v>0.42152777777777778</v>
      </c>
      <c r="O57" s="173">
        <f t="shared" si="13"/>
        <v>9.7222222222222432E-3</v>
      </c>
      <c r="P57" s="208">
        <v>178.01</v>
      </c>
      <c r="Q57" s="174">
        <v>0.44375000000000003</v>
      </c>
      <c r="R57" s="174">
        <v>0.4513888888888889</v>
      </c>
      <c r="S57" s="173">
        <f t="shared" si="14"/>
        <v>7.6388888888888618E-3</v>
      </c>
      <c r="T57" s="175">
        <v>128.22999999999999</v>
      </c>
      <c r="U57" s="174">
        <v>0.46875</v>
      </c>
      <c r="V57" s="173">
        <v>0.47569444444444442</v>
      </c>
      <c r="W57" s="173">
        <f t="shared" si="15"/>
        <v>6.9444444444444198E-3</v>
      </c>
      <c r="X57" s="175">
        <v>86.2</v>
      </c>
      <c r="Y57" s="173">
        <v>0.48472222222222222</v>
      </c>
      <c r="Z57" s="173">
        <v>0.49583333333333335</v>
      </c>
      <c r="AA57" s="173">
        <f t="shared" si="16"/>
        <v>1.1111111111111127E-2</v>
      </c>
      <c r="AB57" s="176">
        <v>5</v>
      </c>
      <c r="AC57" s="173">
        <v>0.4993055555555555</v>
      </c>
      <c r="AD57" s="173">
        <v>0.5</v>
      </c>
      <c r="AE57" s="173">
        <f t="shared" si="17"/>
        <v>6.9444444444449749E-4</v>
      </c>
      <c r="AF57" s="177">
        <f t="shared" si="18"/>
        <v>4.7916666666666663E-2</v>
      </c>
      <c r="AG57" s="176">
        <f t="shared" si="19"/>
        <v>602.75</v>
      </c>
      <c r="AH57" s="177">
        <f t="shared" si="20"/>
        <v>7.0579625292740049E-3</v>
      </c>
      <c r="AI57" s="177">
        <f t="shared" si="21"/>
        <v>5.497462919594067E-2</v>
      </c>
      <c r="AJ57" s="187"/>
    </row>
    <row r="58" spans="1:36" s="8" customFormat="1" ht="20.55" customHeight="1">
      <c r="A58" s="21" t="s">
        <v>49</v>
      </c>
      <c r="B58" s="183" t="s">
        <v>157</v>
      </c>
      <c r="C58" s="184" t="s">
        <v>158</v>
      </c>
      <c r="D58" s="189" t="s">
        <v>147</v>
      </c>
      <c r="E58" s="174">
        <v>0.40069444444444446</v>
      </c>
      <c r="F58" s="174">
        <v>0.40347222222222223</v>
      </c>
      <c r="G58" s="173">
        <f t="shared" si="11"/>
        <v>2.7777777777777679E-3</v>
      </c>
      <c r="H58" s="208">
        <v>180</v>
      </c>
      <c r="I58" s="173">
        <v>0.42222222222222222</v>
      </c>
      <c r="J58" s="173">
        <v>0.4284722222222222</v>
      </c>
      <c r="K58" s="173">
        <f t="shared" si="12"/>
        <v>6.2499999999999778E-3</v>
      </c>
      <c r="L58" s="175">
        <v>123.52</v>
      </c>
      <c r="M58" s="173">
        <v>0.44444444444444442</v>
      </c>
      <c r="N58" s="173">
        <v>0.44930555555555557</v>
      </c>
      <c r="O58" s="173">
        <f t="shared" si="13"/>
        <v>4.8611111111111494E-3</v>
      </c>
      <c r="P58" s="175">
        <v>199</v>
      </c>
      <c r="Q58" s="174">
        <v>0.47847222222222219</v>
      </c>
      <c r="R58" s="174">
        <v>0.48541666666666666</v>
      </c>
      <c r="S58" s="173">
        <f t="shared" si="14"/>
        <v>6.9444444444444753E-3</v>
      </c>
      <c r="T58" s="175">
        <v>180</v>
      </c>
      <c r="U58" s="174">
        <v>0.50972222222222219</v>
      </c>
      <c r="V58" s="173">
        <v>0.51527777777777783</v>
      </c>
      <c r="W58" s="173">
        <f t="shared" si="15"/>
        <v>5.5555555555556468E-3</v>
      </c>
      <c r="X58" s="175">
        <v>96.57</v>
      </c>
      <c r="Y58" s="173">
        <v>0.51874999999999993</v>
      </c>
      <c r="Z58" s="173">
        <v>0.53125</v>
      </c>
      <c r="AA58" s="173">
        <f t="shared" si="16"/>
        <v>1.2500000000000067E-2</v>
      </c>
      <c r="AB58" s="176">
        <v>5</v>
      </c>
      <c r="AC58" s="173">
        <v>0.53541666666666665</v>
      </c>
      <c r="AD58" s="173">
        <v>0.53611111111111109</v>
      </c>
      <c r="AE58" s="173">
        <f t="shared" si="17"/>
        <v>6.9444444444444198E-4</v>
      </c>
      <c r="AF58" s="177">
        <f t="shared" si="18"/>
        <v>3.9583333333333526E-2</v>
      </c>
      <c r="AG58" s="176">
        <f t="shared" si="19"/>
        <v>774.08999999999992</v>
      </c>
      <c r="AH58" s="177">
        <f t="shared" si="20"/>
        <v>9.064285714285714E-3</v>
      </c>
      <c r="AI58" s="177">
        <f t="shared" si="21"/>
        <v>4.8647619047619238E-2</v>
      </c>
      <c r="AJ58" s="187"/>
    </row>
    <row r="59" spans="1:36" ht="20.55" customHeight="1">
      <c r="A59" s="20" t="s">
        <v>56</v>
      </c>
      <c r="B59" s="183" t="s">
        <v>145</v>
      </c>
      <c r="C59" s="192" t="s">
        <v>146</v>
      </c>
      <c r="D59" s="193" t="s">
        <v>147</v>
      </c>
      <c r="E59" s="174">
        <v>0.40902777777777777</v>
      </c>
      <c r="F59" s="174">
        <v>0.41180555555555554</v>
      </c>
      <c r="G59" s="173">
        <f t="shared" si="11"/>
        <v>2.7777777777777679E-3</v>
      </c>
      <c r="H59" s="208">
        <v>107.81</v>
      </c>
      <c r="I59" s="173">
        <v>0.43472222222222223</v>
      </c>
      <c r="J59" s="173">
        <v>0.43888888888888888</v>
      </c>
      <c r="K59" s="173">
        <f t="shared" si="12"/>
        <v>4.1666666666666519E-3</v>
      </c>
      <c r="L59" s="175">
        <v>58.99</v>
      </c>
      <c r="M59" s="173">
        <v>0.4548611111111111</v>
      </c>
      <c r="N59" s="173">
        <v>0.46111111111111108</v>
      </c>
      <c r="O59" s="173">
        <f t="shared" si="13"/>
        <v>6.2499999999999778E-3</v>
      </c>
      <c r="P59" s="208">
        <v>145.44</v>
      </c>
      <c r="Q59" s="174">
        <v>0.49305555555555558</v>
      </c>
      <c r="R59" s="174">
        <v>0.49722222222222223</v>
      </c>
      <c r="S59" s="173">
        <f t="shared" si="14"/>
        <v>4.1666666666666519E-3</v>
      </c>
      <c r="T59" s="175">
        <v>99.57</v>
      </c>
      <c r="U59" s="174">
        <v>0.52708333333333335</v>
      </c>
      <c r="V59" s="173">
        <v>0.52916666666666667</v>
      </c>
      <c r="W59" s="173">
        <f t="shared" si="15"/>
        <v>2.0833333333333259E-3</v>
      </c>
      <c r="X59" s="175">
        <v>63.99</v>
      </c>
      <c r="Y59" s="173">
        <v>0.53333333333333333</v>
      </c>
      <c r="Z59" s="173">
        <v>0.5395833333333333</v>
      </c>
      <c r="AA59" s="173">
        <f t="shared" si="16"/>
        <v>6.2499999999999778E-3</v>
      </c>
      <c r="AB59" s="176">
        <v>5</v>
      </c>
      <c r="AC59" s="173">
        <v>0.54305555555555551</v>
      </c>
      <c r="AD59" s="173">
        <v>0.54375000000000007</v>
      </c>
      <c r="AE59" s="173">
        <f t="shared" si="17"/>
        <v>6.94444444444553E-4</v>
      </c>
      <c r="AF59" s="177">
        <f t="shared" si="18"/>
        <v>2.6388888888888906E-2</v>
      </c>
      <c r="AG59" s="176">
        <f t="shared" si="19"/>
        <v>470.8</v>
      </c>
      <c r="AH59" s="177">
        <f t="shared" si="20"/>
        <v>5.5128805620608904E-3</v>
      </c>
      <c r="AI59" s="177">
        <f t="shared" si="21"/>
        <v>3.1901769450949795E-2</v>
      </c>
      <c r="AJ59" s="187"/>
    </row>
    <row r="60" spans="1:36" ht="24.45" customHeight="1">
      <c r="A60" s="22" t="s">
        <v>92</v>
      </c>
      <c r="B60" s="183" t="s">
        <v>169</v>
      </c>
      <c r="C60" s="190" t="s">
        <v>170</v>
      </c>
      <c r="D60" s="191" t="s">
        <v>147</v>
      </c>
      <c r="E60" s="174">
        <v>0.4145833333333333</v>
      </c>
      <c r="F60" s="174">
        <v>0.41666666666666669</v>
      </c>
      <c r="G60" s="173">
        <f t="shared" si="11"/>
        <v>2.0833333333333814E-3</v>
      </c>
      <c r="H60" s="208">
        <v>118.54</v>
      </c>
      <c r="I60" s="173">
        <v>0.4381944444444445</v>
      </c>
      <c r="J60" s="173">
        <v>0.44375000000000003</v>
      </c>
      <c r="K60" s="173">
        <f t="shared" si="12"/>
        <v>5.5555555555555358E-3</v>
      </c>
      <c r="L60" s="175">
        <v>73.62</v>
      </c>
      <c r="M60" s="173">
        <v>0.4597222222222222</v>
      </c>
      <c r="N60" s="173">
        <v>0.46388888888888885</v>
      </c>
      <c r="O60" s="173">
        <f t="shared" si="13"/>
        <v>4.1666666666666519E-3</v>
      </c>
      <c r="P60" s="208">
        <v>165</v>
      </c>
      <c r="Q60" s="174">
        <v>0.49791666666666662</v>
      </c>
      <c r="R60" s="174">
        <v>0.50138888888888888</v>
      </c>
      <c r="S60" s="173">
        <f t="shared" si="14"/>
        <v>3.4722222222222654E-3</v>
      </c>
      <c r="T60" s="175">
        <v>162.69</v>
      </c>
      <c r="U60" s="174">
        <v>0.53055555555555556</v>
      </c>
      <c r="V60" s="173">
        <v>0.53333333333333333</v>
      </c>
      <c r="W60" s="173">
        <f t="shared" si="15"/>
        <v>2.7777777777777679E-3</v>
      </c>
      <c r="X60" s="175">
        <v>94.45</v>
      </c>
      <c r="Y60" s="173">
        <v>0.53680555555555554</v>
      </c>
      <c r="Z60" s="173">
        <v>0.54305555555555551</v>
      </c>
      <c r="AA60" s="173">
        <f t="shared" si="16"/>
        <v>6.2499999999999778E-3</v>
      </c>
      <c r="AB60" s="176">
        <v>5</v>
      </c>
      <c r="AC60" s="173">
        <v>0.54513888888888895</v>
      </c>
      <c r="AD60" s="173">
        <v>0.54583333333333328</v>
      </c>
      <c r="AE60" s="173">
        <f t="shared" si="17"/>
        <v>6.9444444444433095E-4</v>
      </c>
      <c r="AF60" s="177">
        <f t="shared" si="18"/>
        <v>2.4999999999999911E-2</v>
      </c>
      <c r="AG60" s="176">
        <f t="shared" si="19"/>
        <v>609.30000000000007</v>
      </c>
      <c r="AH60" s="177">
        <f t="shared" si="20"/>
        <v>7.1346604215456683E-3</v>
      </c>
      <c r="AI60" s="177">
        <f t="shared" si="21"/>
        <v>3.2134660421545579E-2</v>
      </c>
      <c r="AJ60" s="187"/>
    </row>
    <row r="61" spans="1:36" s="9" customFormat="1" ht="19.2" customHeight="1">
      <c r="A61" s="21" t="s">
        <v>99</v>
      </c>
      <c r="B61" s="183" t="s">
        <v>173</v>
      </c>
      <c r="C61" s="192" t="s">
        <v>174</v>
      </c>
      <c r="D61" s="193" t="s">
        <v>147</v>
      </c>
      <c r="E61" s="174">
        <v>0.4694444444444445</v>
      </c>
      <c r="F61" s="174">
        <v>0.4694444444444445</v>
      </c>
      <c r="G61" s="173">
        <f t="shared" si="11"/>
        <v>0</v>
      </c>
      <c r="H61" s="208">
        <v>180</v>
      </c>
      <c r="I61" s="173">
        <v>0.5083333333333333</v>
      </c>
      <c r="J61" s="173">
        <v>0.51527777777777783</v>
      </c>
      <c r="K61" s="173">
        <f t="shared" si="12"/>
        <v>6.9444444444445308E-3</v>
      </c>
      <c r="L61" s="175">
        <v>168</v>
      </c>
      <c r="M61" s="173">
        <v>0.52847222222222223</v>
      </c>
      <c r="N61" s="173">
        <v>0.53611111111111109</v>
      </c>
      <c r="O61" s="173">
        <f t="shared" si="13"/>
        <v>7.6388888888888618E-3</v>
      </c>
      <c r="P61" s="175">
        <v>199</v>
      </c>
      <c r="Q61" s="174">
        <v>0.57430555555555551</v>
      </c>
      <c r="R61" s="174">
        <v>0.58263888888888882</v>
      </c>
      <c r="S61" s="173">
        <f t="shared" si="14"/>
        <v>8.3333333333333037E-3</v>
      </c>
      <c r="T61" s="175">
        <v>180</v>
      </c>
      <c r="U61" s="174">
        <v>0.6</v>
      </c>
      <c r="V61" s="173">
        <v>0.6069444444444444</v>
      </c>
      <c r="W61" s="173">
        <f t="shared" si="15"/>
        <v>6.9444444444444198E-3</v>
      </c>
      <c r="X61" s="175">
        <v>131.36000000000001</v>
      </c>
      <c r="Y61" s="173">
        <v>0.61944444444444446</v>
      </c>
      <c r="Z61" s="173">
        <v>0.63194444444444442</v>
      </c>
      <c r="AA61" s="173">
        <f t="shared" si="16"/>
        <v>1.2499999999999956E-2</v>
      </c>
      <c r="AB61" s="176"/>
      <c r="AC61" s="173">
        <v>0.63611111111111118</v>
      </c>
      <c r="AD61" s="173">
        <v>0.63680555555555551</v>
      </c>
      <c r="AE61" s="173">
        <f t="shared" si="17"/>
        <v>6.9444444444433095E-4</v>
      </c>
      <c r="AF61" s="177">
        <f t="shared" si="18"/>
        <v>4.3055555555555403E-2</v>
      </c>
      <c r="AG61" s="176">
        <f t="shared" si="19"/>
        <v>858.36</v>
      </c>
      <c r="AH61" s="177">
        <f t="shared" si="20"/>
        <v>1.0051053864168618E-2</v>
      </c>
      <c r="AI61" s="177">
        <f t="shared" si="21"/>
        <v>5.3106609419724018E-2</v>
      </c>
      <c r="AJ61" s="187"/>
    </row>
    <row r="62" spans="1:36" ht="26.55" customHeight="1">
      <c r="A62" s="21" t="s">
        <v>175</v>
      </c>
      <c r="B62" s="183" t="s">
        <v>176</v>
      </c>
      <c r="C62" s="192" t="s">
        <v>177</v>
      </c>
      <c r="D62" s="193" t="s">
        <v>147</v>
      </c>
      <c r="E62" s="174">
        <v>0.33333333333333331</v>
      </c>
      <c r="F62" s="174">
        <v>0.33680555555555558</v>
      </c>
      <c r="G62" s="173">
        <f t="shared" si="11"/>
        <v>3.4722222222222654E-3</v>
      </c>
      <c r="H62" s="208">
        <v>171.98</v>
      </c>
      <c r="I62" s="173">
        <v>0.3611111111111111</v>
      </c>
      <c r="J62" s="173">
        <v>0.37291666666666662</v>
      </c>
      <c r="K62" s="173">
        <f t="shared" si="12"/>
        <v>1.1805555555555514E-2</v>
      </c>
      <c r="L62" s="175">
        <v>109.33</v>
      </c>
      <c r="M62" s="173">
        <v>0.38611111111111113</v>
      </c>
      <c r="N62" s="173">
        <v>0.39305555555555555</v>
      </c>
      <c r="O62" s="173">
        <f t="shared" si="13"/>
        <v>6.9444444444444198E-3</v>
      </c>
      <c r="P62" s="175">
        <v>199</v>
      </c>
      <c r="Q62" s="174">
        <v>0.40486111111111112</v>
      </c>
      <c r="R62" s="174">
        <v>0.41666666666666669</v>
      </c>
      <c r="S62" s="173">
        <f t="shared" si="14"/>
        <v>1.1805555555555569E-2</v>
      </c>
      <c r="T62" s="175">
        <v>180</v>
      </c>
      <c r="U62" s="174">
        <v>0.42777777777777781</v>
      </c>
      <c r="V62" s="173">
        <v>0.43888888888888888</v>
      </c>
      <c r="W62" s="173">
        <f t="shared" si="15"/>
        <v>1.1111111111111072E-2</v>
      </c>
      <c r="X62" s="175">
        <v>116.12</v>
      </c>
      <c r="Y62" s="173">
        <v>0.45</v>
      </c>
      <c r="Z62" s="173">
        <v>0.46180555555555558</v>
      </c>
      <c r="AA62" s="173">
        <f t="shared" si="16"/>
        <v>1.1805555555555569E-2</v>
      </c>
      <c r="AB62" s="176"/>
      <c r="AC62" s="173">
        <v>0.46597222222222223</v>
      </c>
      <c r="AD62" s="173">
        <v>0.46597222222222223</v>
      </c>
      <c r="AE62" s="173">
        <f t="shared" si="17"/>
        <v>0</v>
      </c>
      <c r="AF62" s="177">
        <f t="shared" si="18"/>
        <v>5.6944444444444409E-2</v>
      </c>
      <c r="AG62" s="176">
        <f t="shared" si="19"/>
        <v>776.43</v>
      </c>
      <c r="AH62" s="177">
        <f t="shared" si="20"/>
        <v>9.0916861826697889E-3</v>
      </c>
      <c r="AI62" s="177">
        <f t="shared" si="21"/>
        <v>6.6036130627114192E-2</v>
      </c>
      <c r="AJ62" s="187"/>
    </row>
    <row r="63" spans="1:36" s="8" customFormat="1" ht="29.55" customHeight="1">
      <c r="A63" s="21" t="s">
        <v>99</v>
      </c>
      <c r="B63" s="183" t="s">
        <v>148</v>
      </c>
      <c r="C63" s="192" t="s">
        <v>149</v>
      </c>
      <c r="D63" s="193" t="s">
        <v>147</v>
      </c>
      <c r="E63" s="174">
        <v>0.42708333333333331</v>
      </c>
      <c r="F63" s="174">
        <v>0.4291666666666667</v>
      </c>
      <c r="G63" s="173">
        <f t="shared" si="11"/>
        <v>2.0833333333333814E-3</v>
      </c>
      <c r="H63" s="208">
        <v>180</v>
      </c>
      <c r="I63" s="173">
        <v>0.4597222222222222</v>
      </c>
      <c r="J63" s="173">
        <v>0.46388888888888885</v>
      </c>
      <c r="K63" s="173">
        <f t="shared" si="12"/>
        <v>4.1666666666666519E-3</v>
      </c>
      <c r="L63" s="175">
        <v>180</v>
      </c>
      <c r="M63" s="173">
        <v>0.47986111111111113</v>
      </c>
      <c r="N63" s="173">
        <v>0.48472222222222222</v>
      </c>
      <c r="O63" s="173">
        <f t="shared" si="13"/>
        <v>4.8611111111110938E-3</v>
      </c>
      <c r="P63" s="175">
        <v>199</v>
      </c>
      <c r="Q63" s="174">
        <v>0.52569444444444446</v>
      </c>
      <c r="R63" s="174">
        <v>0.52986111111111112</v>
      </c>
      <c r="S63" s="173">
        <f t="shared" si="14"/>
        <v>4.1666666666666519E-3</v>
      </c>
      <c r="T63" s="175">
        <v>180</v>
      </c>
      <c r="U63" s="174">
        <v>0.56388888888888888</v>
      </c>
      <c r="V63" s="173">
        <v>0.56805555555555554</v>
      </c>
      <c r="W63" s="173">
        <f t="shared" si="15"/>
        <v>4.1666666666666519E-3</v>
      </c>
      <c r="X63" s="175">
        <v>144.09</v>
      </c>
      <c r="Y63" s="173">
        <v>0.57638888888888895</v>
      </c>
      <c r="Z63" s="173">
        <v>0.58472222222222225</v>
      </c>
      <c r="AA63" s="173">
        <f t="shared" si="16"/>
        <v>8.3333333333333037E-3</v>
      </c>
      <c r="AB63" s="176"/>
      <c r="AC63" s="173">
        <v>0.58958333333333335</v>
      </c>
      <c r="AD63" s="173">
        <v>0.58958333333333335</v>
      </c>
      <c r="AE63" s="173">
        <f t="shared" si="17"/>
        <v>0</v>
      </c>
      <c r="AF63" s="177">
        <f t="shared" si="18"/>
        <v>2.7777777777777735E-2</v>
      </c>
      <c r="AG63" s="176">
        <f t="shared" si="19"/>
        <v>883.09</v>
      </c>
      <c r="AH63" s="177">
        <f t="shared" si="20"/>
        <v>1.0340632318501171E-2</v>
      </c>
      <c r="AI63" s="177">
        <f t="shared" si="21"/>
        <v>3.8118410096278907E-2</v>
      </c>
      <c r="AJ63" s="187"/>
    </row>
    <row r="64" spans="1:36" ht="20.55" customHeight="1">
      <c r="A64" s="21" t="s">
        <v>120</v>
      </c>
      <c r="B64" s="183" t="s">
        <v>171</v>
      </c>
      <c r="C64" s="195" t="s">
        <v>172</v>
      </c>
      <c r="D64" s="193" t="s">
        <v>147</v>
      </c>
      <c r="E64" s="174">
        <v>0.54513888888888895</v>
      </c>
      <c r="F64" s="174">
        <v>0.54652777777777783</v>
      </c>
      <c r="G64" s="173">
        <f t="shared" si="11"/>
        <v>1.388888888888884E-3</v>
      </c>
      <c r="H64" s="208">
        <v>155.25</v>
      </c>
      <c r="I64" s="173">
        <v>0.59444444444444444</v>
      </c>
      <c r="J64" s="173">
        <v>0.6</v>
      </c>
      <c r="K64" s="173">
        <f t="shared" si="12"/>
        <v>5.5555555555555358E-3</v>
      </c>
      <c r="L64" s="175">
        <v>119.98</v>
      </c>
      <c r="M64" s="173">
        <v>0.60763888888888895</v>
      </c>
      <c r="N64" s="173">
        <v>0.61319444444444449</v>
      </c>
      <c r="O64" s="173">
        <f t="shared" si="13"/>
        <v>5.5555555555555358E-3</v>
      </c>
      <c r="P64" s="175">
        <v>199</v>
      </c>
      <c r="Q64" s="174">
        <v>0.62361111111111112</v>
      </c>
      <c r="R64" s="174">
        <v>0.63055555555555554</v>
      </c>
      <c r="S64" s="173">
        <f t="shared" si="14"/>
        <v>6.9444444444444198E-3</v>
      </c>
      <c r="T64" s="175">
        <v>180</v>
      </c>
      <c r="U64" s="174">
        <v>0.64374999999999993</v>
      </c>
      <c r="V64" s="173">
        <v>0.65347222222222223</v>
      </c>
      <c r="W64" s="173">
        <f t="shared" si="15"/>
        <v>9.7222222222222987E-3</v>
      </c>
      <c r="X64" s="175">
        <v>100.47</v>
      </c>
      <c r="Y64" s="173">
        <v>0.6645833333333333</v>
      </c>
      <c r="Z64" s="173">
        <v>0.67569444444444438</v>
      </c>
      <c r="AA64" s="173">
        <f t="shared" si="16"/>
        <v>1.1111111111111072E-2</v>
      </c>
      <c r="AB64" s="176"/>
      <c r="AC64" s="173">
        <v>0.6791666666666667</v>
      </c>
      <c r="AD64" s="173">
        <v>0.6791666666666667</v>
      </c>
      <c r="AE64" s="173">
        <f t="shared" si="17"/>
        <v>0</v>
      </c>
      <c r="AF64" s="177">
        <f t="shared" si="18"/>
        <v>4.0277777777777746E-2</v>
      </c>
      <c r="AG64" s="176">
        <f t="shared" si="19"/>
        <v>754.7</v>
      </c>
      <c r="AH64" s="177">
        <f t="shared" si="20"/>
        <v>8.8372365339578467E-3</v>
      </c>
      <c r="AI64" s="177">
        <f t="shared" si="21"/>
        <v>4.9115014311735594E-2</v>
      </c>
      <c r="AJ64" s="187"/>
    </row>
    <row r="65" spans="1:36" s="9" customFormat="1" ht="19.2" customHeight="1">
      <c r="A65" s="21" t="s">
        <v>161</v>
      </c>
      <c r="B65" s="197" t="s">
        <v>180</v>
      </c>
      <c r="C65" s="171" t="s">
        <v>181</v>
      </c>
      <c r="D65" s="189" t="s">
        <v>147</v>
      </c>
      <c r="E65" s="174">
        <v>0.57638888888888895</v>
      </c>
      <c r="F65" s="174">
        <v>0.57777777777777783</v>
      </c>
      <c r="G65" s="173">
        <f t="shared" si="11"/>
        <v>1.388888888888884E-3</v>
      </c>
      <c r="H65" s="208">
        <v>102.85</v>
      </c>
      <c r="I65" s="173">
        <v>0.60555555555555551</v>
      </c>
      <c r="J65" s="173">
        <v>0.60902777777777783</v>
      </c>
      <c r="K65" s="173">
        <f t="shared" si="12"/>
        <v>3.4722222222223209E-3</v>
      </c>
      <c r="L65" s="175">
        <v>73.23</v>
      </c>
      <c r="M65" s="173">
        <v>0.61458333333333337</v>
      </c>
      <c r="N65" s="173">
        <v>0.61805555555555558</v>
      </c>
      <c r="O65" s="173">
        <f t="shared" si="13"/>
        <v>3.4722222222222099E-3</v>
      </c>
      <c r="P65" s="208">
        <v>169.29</v>
      </c>
      <c r="Q65" s="174">
        <v>0.63124999999999998</v>
      </c>
      <c r="R65" s="174">
        <v>0.63472222222222219</v>
      </c>
      <c r="S65" s="173">
        <f t="shared" si="14"/>
        <v>3.4722222222222099E-3</v>
      </c>
      <c r="T65" s="175">
        <v>117.62</v>
      </c>
      <c r="U65" s="174">
        <v>0.64444444444444449</v>
      </c>
      <c r="V65" s="173">
        <v>0.64722222222222225</v>
      </c>
      <c r="W65" s="173">
        <f t="shared" si="15"/>
        <v>2.7777777777777679E-3</v>
      </c>
      <c r="X65" s="175">
        <v>65.680000000000007</v>
      </c>
      <c r="Y65" s="173">
        <v>0.65763888888888888</v>
      </c>
      <c r="Z65" s="173">
        <v>0.66319444444444442</v>
      </c>
      <c r="AA65" s="173">
        <f t="shared" si="16"/>
        <v>5.5555555555555358E-3</v>
      </c>
      <c r="AB65" s="176">
        <v>5</v>
      </c>
      <c r="AC65" s="173">
        <v>0.66666666666666663</v>
      </c>
      <c r="AD65" s="173">
        <v>0.66666666666666663</v>
      </c>
      <c r="AE65" s="173">
        <f t="shared" si="17"/>
        <v>0</v>
      </c>
      <c r="AF65" s="177">
        <f t="shared" si="18"/>
        <v>2.0138888888888928E-2</v>
      </c>
      <c r="AG65" s="176">
        <f t="shared" si="19"/>
        <v>523.67000000000007</v>
      </c>
      <c r="AH65" s="177">
        <f t="shared" si="20"/>
        <v>6.1319672131147553E-3</v>
      </c>
      <c r="AI65" s="177">
        <f t="shared" si="21"/>
        <v>2.6270856102003685E-2</v>
      </c>
      <c r="AJ65" s="187"/>
    </row>
    <row r="66" spans="1:36" ht="24.45" customHeight="1">
      <c r="A66" s="21" t="s">
        <v>161</v>
      </c>
      <c r="B66" s="183" t="s">
        <v>162</v>
      </c>
      <c r="C66" s="187" t="s">
        <v>163</v>
      </c>
      <c r="D66" s="207" t="s">
        <v>147</v>
      </c>
      <c r="E66" s="174">
        <v>0.57638888888888895</v>
      </c>
      <c r="F66" s="174">
        <v>0.57777777777777783</v>
      </c>
      <c r="G66" s="173">
        <f t="shared" ref="G66:G70" si="22">SUM(F66-E66)</f>
        <v>1.388888888888884E-3</v>
      </c>
      <c r="H66" s="208">
        <v>136.29</v>
      </c>
      <c r="I66" s="173">
        <v>0.60069444444444442</v>
      </c>
      <c r="J66" s="173">
        <v>0.60486111111111118</v>
      </c>
      <c r="K66" s="173">
        <f t="shared" ref="K66:K70" si="23">SUM(J66-I66)</f>
        <v>4.1666666666667629E-3</v>
      </c>
      <c r="L66" s="175">
        <v>94.06</v>
      </c>
      <c r="M66" s="173">
        <v>0.61319444444444449</v>
      </c>
      <c r="N66" s="173">
        <v>0.61736111111111114</v>
      </c>
      <c r="O66" s="173">
        <f t="shared" ref="O66:O70" si="24">SUM(N66-M66)</f>
        <v>4.1666666666666519E-3</v>
      </c>
      <c r="P66" s="175">
        <v>199</v>
      </c>
      <c r="Q66" s="174">
        <v>0.62847222222222221</v>
      </c>
      <c r="R66" s="174">
        <v>0.63541666666666663</v>
      </c>
      <c r="S66" s="173">
        <f t="shared" ref="S66:S70" si="25">SUM(R66-Q66)</f>
        <v>6.9444444444444198E-3</v>
      </c>
      <c r="T66" s="175">
        <v>177.8</v>
      </c>
      <c r="U66" s="174">
        <v>0.64861111111111114</v>
      </c>
      <c r="V66" s="173">
        <v>0.65277777777777779</v>
      </c>
      <c r="W66" s="173">
        <f t="shared" ref="W66:W70" si="26">SUM(V66-U66)</f>
        <v>4.1666666666666519E-3</v>
      </c>
      <c r="X66" s="175">
        <v>94.3</v>
      </c>
      <c r="Y66" s="173">
        <v>0.66249999999999998</v>
      </c>
      <c r="Z66" s="173">
        <v>0.67013888888888884</v>
      </c>
      <c r="AA66" s="173">
        <f t="shared" ref="AA66:AA70" si="27">SUM(Z66-Y66)</f>
        <v>7.6388888888888618E-3</v>
      </c>
      <c r="AB66" s="176"/>
      <c r="AC66" s="173">
        <v>0.67291666666666661</v>
      </c>
      <c r="AD66" s="173">
        <v>0.67291666666666661</v>
      </c>
      <c r="AE66" s="173">
        <f t="shared" ref="AE66:AE70" si="28">SUM(AD66-AC66)</f>
        <v>0</v>
      </c>
      <c r="AF66" s="177">
        <f t="shared" ref="AF66:AF70" si="29">SUM(G66+K66+O66+S66+W66+AA66+AE66)</f>
        <v>2.8472222222222232E-2</v>
      </c>
      <c r="AG66" s="176">
        <f t="shared" si="19"/>
        <v>701.45</v>
      </c>
      <c r="AH66" s="177">
        <f t="shared" ref="AH66:AH70" si="30">AG66/85400</f>
        <v>8.2137002341920382E-3</v>
      </c>
      <c r="AI66" s="177">
        <f t="shared" ref="AI66:AI70" si="31">SUM(AF66+AH66)</f>
        <v>3.668592245641427E-2</v>
      </c>
      <c r="AJ66" s="187"/>
    </row>
    <row r="67" spans="1:36" s="8" customFormat="1" ht="24.45" customHeight="1">
      <c r="A67" s="23" t="s">
        <v>41</v>
      </c>
      <c r="B67" s="183" t="s">
        <v>155</v>
      </c>
      <c r="C67" s="182" t="s">
        <v>156</v>
      </c>
      <c r="D67" s="188" t="s">
        <v>147</v>
      </c>
      <c r="E67" s="174">
        <v>0.40069444444444446</v>
      </c>
      <c r="F67" s="174">
        <v>0.40347222222222223</v>
      </c>
      <c r="G67" s="173">
        <f t="shared" si="22"/>
        <v>2.7777777777777679E-3</v>
      </c>
      <c r="H67" s="208">
        <v>113.62</v>
      </c>
      <c r="I67" s="173">
        <v>0.42499999999999999</v>
      </c>
      <c r="J67" s="173">
        <v>0.4291666666666667</v>
      </c>
      <c r="K67" s="173">
        <f t="shared" si="23"/>
        <v>4.1666666666667074E-3</v>
      </c>
      <c r="L67" s="175">
        <v>73.44</v>
      </c>
      <c r="M67" s="173">
        <v>0.44722222222222219</v>
      </c>
      <c r="N67" s="173">
        <v>0.4513888888888889</v>
      </c>
      <c r="O67" s="173">
        <f t="shared" si="24"/>
        <v>4.1666666666667074E-3</v>
      </c>
      <c r="P67" s="208">
        <v>156.97999999999999</v>
      </c>
      <c r="Q67" s="174">
        <v>0.48125000000000001</v>
      </c>
      <c r="R67" s="174">
        <v>0.4861111111111111</v>
      </c>
      <c r="S67" s="173">
        <f t="shared" si="25"/>
        <v>4.8611111111110938E-3</v>
      </c>
      <c r="T67" s="175">
        <v>159.35</v>
      </c>
      <c r="U67" s="174">
        <v>0.51388888888888895</v>
      </c>
      <c r="V67" s="173">
        <v>0.51666666666666672</v>
      </c>
      <c r="W67" s="173">
        <f t="shared" si="26"/>
        <v>2.7777777777777679E-3</v>
      </c>
      <c r="X67" s="175">
        <v>73.7</v>
      </c>
      <c r="Y67" s="173">
        <v>0.5229166666666667</v>
      </c>
      <c r="Z67" s="173">
        <v>0.53125</v>
      </c>
      <c r="AA67" s="173">
        <f t="shared" si="27"/>
        <v>8.3333333333333037E-3</v>
      </c>
      <c r="AB67" s="176">
        <v>5</v>
      </c>
      <c r="AC67" s="173">
        <v>0.53541666666666665</v>
      </c>
      <c r="AD67" s="173">
        <v>0.53611111111111109</v>
      </c>
      <c r="AE67" s="173">
        <f t="shared" si="28"/>
        <v>6.9444444444444198E-4</v>
      </c>
      <c r="AF67" s="177">
        <f t="shared" si="29"/>
        <v>2.777777777777779E-2</v>
      </c>
      <c r="AG67" s="176">
        <f t="shared" si="19"/>
        <v>572.09</v>
      </c>
      <c r="AH67" s="177">
        <f t="shared" si="30"/>
        <v>6.6989461358313825E-3</v>
      </c>
      <c r="AI67" s="177">
        <f t="shared" si="31"/>
        <v>3.4476723913609175E-2</v>
      </c>
      <c r="AJ67" s="187"/>
    </row>
    <row r="68" spans="1:36" ht="24.45" customHeight="1">
      <c r="A68" s="23" t="s">
        <v>41</v>
      </c>
      <c r="B68" s="183" t="s">
        <v>150</v>
      </c>
      <c r="C68" s="184" t="s">
        <v>151</v>
      </c>
      <c r="D68" s="188" t="s">
        <v>147</v>
      </c>
      <c r="E68" s="174">
        <v>0.40138888888888885</v>
      </c>
      <c r="F68" s="174">
        <v>0.40416666666666662</v>
      </c>
      <c r="G68" s="173">
        <f t="shared" si="22"/>
        <v>2.7777777777777679E-3</v>
      </c>
      <c r="H68" s="208">
        <v>142</v>
      </c>
      <c r="I68" s="173">
        <v>0.41805555555555557</v>
      </c>
      <c r="J68" s="173">
        <v>0.42291666666666666</v>
      </c>
      <c r="K68" s="173">
        <f t="shared" si="23"/>
        <v>4.8611111111110938E-3</v>
      </c>
      <c r="L68" s="175">
        <v>179</v>
      </c>
      <c r="M68" s="173">
        <v>0.44097222222222227</v>
      </c>
      <c r="N68" s="173">
        <v>0.4465277777777778</v>
      </c>
      <c r="O68" s="173">
        <f t="shared" si="24"/>
        <v>5.5555555555555358E-3</v>
      </c>
      <c r="P68" s="175">
        <v>199</v>
      </c>
      <c r="Q68" s="174">
        <v>0.47500000000000003</v>
      </c>
      <c r="R68" s="174">
        <v>0.48125000000000001</v>
      </c>
      <c r="S68" s="173">
        <f t="shared" si="25"/>
        <v>6.2499999999999778E-3</v>
      </c>
      <c r="T68" s="175">
        <v>180</v>
      </c>
      <c r="U68" s="174">
        <v>0.50486111111111109</v>
      </c>
      <c r="V68" s="173">
        <v>0.50972222222222219</v>
      </c>
      <c r="W68" s="173">
        <f t="shared" si="26"/>
        <v>4.8611111111110938E-3</v>
      </c>
      <c r="X68" s="175">
        <v>82.58</v>
      </c>
      <c r="Y68" s="173">
        <v>0.51527777777777783</v>
      </c>
      <c r="Z68" s="173">
        <v>0.52847222222222223</v>
      </c>
      <c r="AA68" s="173">
        <f t="shared" si="27"/>
        <v>1.3194444444444398E-2</v>
      </c>
      <c r="AB68" s="176"/>
      <c r="AC68" s="173">
        <v>0.53541666666666665</v>
      </c>
      <c r="AD68" s="173">
        <v>0.53611111111111109</v>
      </c>
      <c r="AE68" s="173">
        <f t="shared" si="28"/>
        <v>6.9444444444444198E-4</v>
      </c>
      <c r="AF68" s="177">
        <f t="shared" si="29"/>
        <v>3.8194444444444309E-2</v>
      </c>
      <c r="AG68" s="176">
        <f t="shared" si="19"/>
        <v>782.58</v>
      </c>
      <c r="AH68" s="177">
        <f t="shared" si="30"/>
        <v>9.1637002341920376E-3</v>
      </c>
      <c r="AI68" s="177">
        <f t="shared" si="31"/>
        <v>4.7358144678636346E-2</v>
      </c>
      <c r="AJ68" s="187"/>
    </row>
    <row r="69" spans="1:36" s="8" customFormat="1" ht="20.55" customHeight="1">
      <c r="A69" s="22" t="s">
        <v>74</v>
      </c>
      <c r="B69" s="183" t="s">
        <v>153</v>
      </c>
      <c r="C69" s="182" t="s">
        <v>154</v>
      </c>
      <c r="D69" s="188" t="s">
        <v>147</v>
      </c>
      <c r="E69" s="174">
        <v>0.42708333333333331</v>
      </c>
      <c r="F69" s="174">
        <v>0.4284722222222222</v>
      </c>
      <c r="G69" s="173">
        <f t="shared" si="22"/>
        <v>1.388888888888884E-3</v>
      </c>
      <c r="H69" s="208">
        <v>120.64</v>
      </c>
      <c r="I69" s="173">
        <v>0.44791666666666669</v>
      </c>
      <c r="J69" s="173">
        <v>0.45208333333333334</v>
      </c>
      <c r="K69" s="173">
        <f t="shared" si="23"/>
        <v>4.1666666666666519E-3</v>
      </c>
      <c r="L69" s="175">
        <v>72.900000000000006</v>
      </c>
      <c r="M69" s="173">
        <v>0.47013888888888888</v>
      </c>
      <c r="N69" s="173">
        <v>0.47361111111111115</v>
      </c>
      <c r="O69" s="173">
        <f t="shared" si="24"/>
        <v>3.4722222222222654E-3</v>
      </c>
      <c r="P69" s="208">
        <v>183</v>
      </c>
      <c r="Q69" s="174">
        <v>0.51180555555555551</v>
      </c>
      <c r="R69" s="174">
        <v>0.51597222222222217</v>
      </c>
      <c r="S69" s="173">
        <f t="shared" si="25"/>
        <v>4.1666666666666519E-3</v>
      </c>
      <c r="T69" s="175">
        <v>170.92</v>
      </c>
      <c r="U69" s="174">
        <v>0.54652777777777783</v>
      </c>
      <c r="V69" s="173">
        <v>0.54861111111111105</v>
      </c>
      <c r="W69" s="173">
        <f t="shared" si="26"/>
        <v>2.0833333333332149E-3</v>
      </c>
      <c r="X69" s="175">
        <v>87.6</v>
      </c>
      <c r="Y69" s="173">
        <v>0.56388888888888888</v>
      </c>
      <c r="Z69" s="173">
        <v>0.56944444444444442</v>
      </c>
      <c r="AA69" s="173">
        <f t="shared" si="27"/>
        <v>5.5555555555555358E-3</v>
      </c>
      <c r="AB69" s="176"/>
      <c r="AC69" s="173">
        <v>0.57500000000000007</v>
      </c>
      <c r="AD69" s="173">
        <v>0.57500000000000007</v>
      </c>
      <c r="AE69" s="173">
        <f t="shared" si="28"/>
        <v>0</v>
      </c>
      <c r="AF69" s="177">
        <f t="shared" si="29"/>
        <v>2.0833333333333204E-2</v>
      </c>
      <c r="AG69" s="176">
        <f t="shared" si="19"/>
        <v>635.06000000000006</v>
      </c>
      <c r="AH69" s="177">
        <f t="shared" si="30"/>
        <v>7.4362997658079634E-3</v>
      </c>
      <c r="AI69" s="177">
        <f t="shared" si="31"/>
        <v>2.8269633099141166E-2</v>
      </c>
      <c r="AJ69" s="187"/>
    </row>
    <row r="70" spans="1:36" ht="20.55" customHeight="1">
      <c r="A70" s="22" t="s">
        <v>74</v>
      </c>
      <c r="B70" s="183" t="s">
        <v>164</v>
      </c>
      <c r="C70" s="200" t="s">
        <v>165</v>
      </c>
      <c r="D70" s="188" t="s">
        <v>147</v>
      </c>
      <c r="E70" s="174">
        <v>0.42708333333333331</v>
      </c>
      <c r="F70" s="174">
        <v>0.4291666666666667</v>
      </c>
      <c r="G70" s="173">
        <f t="shared" si="22"/>
        <v>2.0833333333333814E-3</v>
      </c>
      <c r="H70" s="208">
        <v>129.51</v>
      </c>
      <c r="I70" s="173">
        <v>0.45208333333333334</v>
      </c>
      <c r="J70" s="173">
        <v>0.45763888888888887</v>
      </c>
      <c r="K70" s="173">
        <f t="shared" si="23"/>
        <v>5.5555555555555358E-3</v>
      </c>
      <c r="L70" s="175">
        <v>112.75</v>
      </c>
      <c r="M70" s="173">
        <v>0.47222222222222227</v>
      </c>
      <c r="N70" s="173">
        <v>0.4777777777777778</v>
      </c>
      <c r="O70" s="173">
        <f t="shared" si="24"/>
        <v>5.5555555555555358E-3</v>
      </c>
      <c r="P70" s="175">
        <v>199</v>
      </c>
      <c r="Q70" s="174">
        <v>0.51736111111111105</v>
      </c>
      <c r="R70" s="174">
        <v>0.52361111111111114</v>
      </c>
      <c r="S70" s="173">
        <f t="shared" si="25"/>
        <v>6.2500000000000888E-3</v>
      </c>
      <c r="T70" s="175">
        <v>166.95</v>
      </c>
      <c r="U70" s="174">
        <v>0.55277777777777781</v>
      </c>
      <c r="V70" s="173">
        <v>0.55763888888888891</v>
      </c>
      <c r="W70" s="173">
        <f t="shared" si="26"/>
        <v>4.8611111111110938E-3</v>
      </c>
      <c r="X70" s="175">
        <v>117.51</v>
      </c>
      <c r="Y70" s="173">
        <v>0.56041666666666667</v>
      </c>
      <c r="Z70" s="173">
        <v>0.57916666666666672</v>
      </c>
      <c r="AA70" s="173">
        <f t="shared" si="27"/>
        <v>1.8750000000000044E-2</v>
      </c>
      <c r="AB70" s="176">
        <v>5</v>
      </c>
      <c r="AC70" s="173">
        <v>0.58194444444444449</v>
      </c>
      <c r="AD70" s="173">
        <v>0.58263888888888882</v>
      </c>
      <c r="AE70" s="173">
        <f t="shared" si="28"/>
        <v>6.9444444444433095E-4</v>
      </c>
      <c r="AF70" s="177">
        <f t="shared" si="29"/>
        <v>4.3750000000000011E-2</v>
      </c>
      <c r="AG70" s="176">
        <f t="shared" si="19"/>
        <v>720.72</v>
      </c>
      <c r="AH70" s="177">
        <f t="shared" si="30"/>
        <v>8.4393442622950829E-3</v>
      </c>
      <c r="AI70" s="177">
        <f t="shared" si="31"/>
        <v>5.2189344262295094E-2</v>
      </c>
      <c r="AJ70" s="187"/>
    </row>
    <row r="71" spans="1:36" s="8" customFormat="1" ht="22.2" customHeight="1">
      <c r="A71" s="19"/>
      <c r="B71" s="35"/>
      <c r="C71"/>
      <c r="D71" s="2"/>
      <c r="E71"/>
      <c r="F71"/>
      <c r="G71" s="26"/>
      <c r="H71" s="128"/>
      <c r="I71"/>
      <c r="J71"/>
      <c r="K71" s="26"/>
      <c r="L71"/>
      <c r="M71"/>
      <c r="N71" s="2"/>
      <c r="O71" s="26"/>
      <c r="P71" s="2"/>
      <c r="Q71"/>
      <c r="R71"/>
      <c r="S71" s="26"/>
      <c r="T71"/>
      <c r="U71"/>
      <c r="V71"/>
      <c r="W71" s="26"/>
      <c r="X71"/>
      <c r="Y71"/>
      <c r="Z71"/>
      <c r="AA71" s="26"/>
      <c r="AB71"/>
      <c r="AC71"/>
      <c r="AD71"/>
      <c r="AE71" s="26"/>
      <c r="AF71"/>
      <c r="AG71"/>
      <c r="AH71"/>
      <c r="AI71"/>
      <c r="AJ71"/>
    </row>
    <row r="72" spans="1:36" ht="20.55" customHeight="1"/>
    <row r="73" spans="1:36" s="8" customFormat="1" ht="20.55" customHeight="1">
      <c r="A73" s="19"/>
      <c r="B73" s="35"/>
      <c r="C73"/>
      <c r="D73" s="2"/>
      <c r="E73"/>
      <c r="F73"/>
      <c r="G73" s="26"/>
      <c r="H73"/>
      <c r="I73"/>
      <c r="J73"/>
      <c r="K73" s="26"/>
      <c r="L73"/>
      <c r="M73"/>
      <c r="N73" s="2"/>
      <c r="O73" s="26"/>
      <c r="P73" s="2"/>
      <c r="Q73"/>
      <c r="R73"/>
      <c r="S73" s="26"/>
      <c r="T73"/>
      <c r="U73"/>
      <c r="V73"/>
      <c r="W73" s="26"/>
      <c r="X73"/>
      <c r="Y73"/>
      <c r="Z73"/>
      <c r="AA73" s="26"/>
      <c r="AB73"/>
      <c r="AC73"/>
      <c r="AD73"/>
      <c r="AE73" s="26"/>
      <c r="AF73"/>
      <c r="AG73"/>
      <c r="AH73"/>
      <c r="AI73"/>
      <c r="AJ73"/>
    </row>
    <row r="74" spans="1:36" ht="20.55" customHeight="1"/>
    <row r="75" spans="1:36" s="8" customFormat="1" ht="20.55" customHeight="1">
      <c r="A75" s="19"/>
      <c r="B75" s="35"/>
      <c r="C75"/>
      <c r="D75" s="2"/>
      <c r="E75"/>
      <c r="F75"/>
      <c r="G75" s="26"/>
      <c r="H75"/>
      <c r="I75"/>
      <c r="J75"/>
      <c r="K75" s="26"/>
      <c r="L75"/>
      <c r="M75"/>
      <c r="N75" s="2"/>
      <c r="O75" s="26"/>
      <c r="P75" s="2"/>
      <c r="Q75"/>
      <c r="R75"/>
      <c r="S75" s="26"/>
      <c r="T75"/>
      <c r="U75"/>
      <c r="V75"/>
      <c r="W75" s="26"/>
      <c r="X75"/>
      <c r="Y75"/>
      <c r="Z75"/>
      <c r="AA75" s="26"/>
      <c r="AB75"/>
      <c r="AC75"/>
      <c r="AD75"/>
      <c r="AE75" s="26"/>
      <c r="AF75"/>
      <c r="AG75"/>
      <c r="AH75"/>
      <c r="AI75"/>
      <c r="AJ75"/>
    </row>
    <row r="76" spans="1:36" ht="20.55" customHeight="1"/>
    <row r="77" spans="1:36" s="8" customFormat="1" ht="20.55" customHeight="1">
      <c r="A77" s="19"/>
      <c r="B77" s="35"/>
      <c r="C77"/>
      <c r="D77" s="2"/>
      <c r="E77"/>
      <c r="F77"/>
      <c r="G77" s="26"/>
      <c r="H77"/>
      <c r="I77"/>
      <c r="J77"/>
      <c r="K77" s="26"/>
      <c r="L77"/>
      <c r="M77"/>
      <c r="N77" s="2"/>
      <c r="O77" s="26"/>
      <c r="P77" s="2"/>
      <c r="Q77"/>
      <c r="R77"/>
      <c r="S77" s="26"/>
      <c r="T77"/>
      <c r="U77"/>
      <c r="V77"/>
      <c r="W77" s="26"/>
      <c r="X77"/>
      <c r="Y77"/>
      <c r="Z77"/>
      <c r="AA77" s="26"/>
      <c r="AB77"/>
      <c r="AC77"/>
      <c r="AD77"/>
      <c r="AE77" s="26"/>
      <c r="AF77"/>
      <c r="AG77"/>
      <c r="AH77"/>
      <c r="AI77"/>
      <c r="AJ77"/>
    </row>
    <row r="78" spans="1:36" ht="20.55" customHeight="1"/>
    <row r="79" spans="1:36" s="8" customFormat="1" ht="20.55" customHeight="1">
      <c r="A79" s="19"/>
      <c r="B79" s="35"/>
      <c r="C79"/>
      <c r="D79" s="2"/>
      <c r="E79"/>
      <c r="F79"/>
      <c r="G79" s="26"/>
      <c r="H79"/>
      <c r="I79"/>
      <c r="J79"/>
      <c r="K79" s="26"/>
      <c r="L79"/>
      <c r="M79"/>
      <c r="N79" s="2"/>
      <c r="O79" s="26"/>
      <c r="P79" s="2"/>
      <c r="Q79"/>
      <c r="R79"/>
      <c r="S79" s="26"/>
      <c r="T79"/>
      <c r="U79"/>
      <c r="V79"/>
      <c r="W79" s="26"/>
      <c r="X79"/>
      <c r="Y79"/>
      <c r="Z79"/>
      <c r="AA79" s="26"/>
      <c r="AB79"/>
      <c r="AC79"/>
      <c r="AD79"/>
      <c r="AE79" s="26"/>
      <c r="AF79"/>
      <c r="AG79"/>
      <c r="AH79"/>
      <c r="AI79"/>
      <c r="AJ79"/>
    </row>
    <row r="80" spans="1:36" ht="20.55" customHeight="1"/>
    <row r="81" spans="1:36" s="8" customFormat="1" ht="20.55" customHeight="1">
      <c r="A81" s="19"/>
      <c r="B81" s="35"/>
      <c r="C81"/>
      <c r="D81" s="2"/>
      <c r="E81"/>
      <c r="F81"/>
      <c r="G81" s="26"/>
      <c r="H81"/>
      <c r="I81"/>
      <c r="J81"/>
      <c r="K81" s="26"/>
      <c r="L81"/>
      <c r="M81"/>
      <c r="N81" s="2"/>
      <c r="O81" s="26"/>
      <c r="P81" s="2"/>
      <c r="Q81"/>
      <c r="R81"/>
      <c r="S81" s="26"/>
      <c r="T81"/>
      <c r="U81"/>
      <c r="V81"/>
      <c r="W81" s="26"/>
      <c r="X81"/>
      <c r="Y81"/>
      <c r="Z81"/>
      <c r="AA81" s="26"/>
      <c r="AB81"/>
      <c r="AC81"/>
      <c r="AD81"/>
      <c r="AE81" s="26"/>
      <c r="AF81"/>
      <c r="AG81"/>
      <c r="AH81"/>
      <c r="AI81"/>
      <c r="AJ81"/>
    </row>
    <row r="82" spans="1:36" ht="20.55" customHeight="1"/>
    <row r="83" spans="1:36" s="8" customFormat="1" ht="20.55" customHeight="1">
      <c r="A83" s="19"/>
      <c r="B83" s="35"/>
      <c r="C83"/>
      <c r="D83" s="2"/>
      <c r="E83"/>
      <c r="F83"/>
      <c r="G83" s="26"/>
      <c r="H83"/>
      <c r="I83"/>
      <c r="J83"/>
      <c r="K83" s="26"/>
      <c r="L83"/>
      <c r="M83"/>
      <c r="N83" s="2"/>
      <c r="O83" s="26"/>
      <c r="P83" s="2"/>
      <c r="Q83"/>
      <c r="R83"/>
      <c r="S83" s="26"/>
      <c r="T83"/>
      <c r="U83"/>
      <c r="V83"/>
      <c r="W83" s="26"/>
      <c r="X83"/>
      <c r="Y83"/>
      <c r="Z83"/>
      <c r="AA83" s="26"/>
      <c r="AB83"/>
      <c r="AC83"/>
      <c r="AD83"/>
      <c r="AE83" s="26"/>
      <c r="AF83"/>
      <c r="AG83"/>
      <c r="AH83"/>
      <c r="AI83"/>
      <c r="AJ83"/>
    </row>
    <row r="84" spans="1:36" ht="20.55" customHeight="1"/>
    <row r="85" spans="1:36" s="8" customFormat="1" ht="20.55" customHeight="1">
      <c r="A85" s="19"/>
      <c r="B85" s="35"/>
      <c r="C85"/>
      <c r="D85" s="2"/>
      <c r="E85"/>
      <c r="F85"/>
      <c r="G85" s="26"/>
      <c r="H85"/>
      <c r="I85"/>
      <c r="J85"/>
      <c r="K85" s="26"/>
      <c r="L85"/>
      <c r="M85"/>
      <c r="N85" s="2"/>
      <c r="O85" s="26"/>
      <c r="P85" s="2"/>
      <c r="Q85"/>
      <c r="R85"/>
      <c r="S85" s="26"/>
      <c r="T85"/>
      <c r="U85"/>
      <c r="V85"/>
      <c r="W85" s="26"/>
      <c r="X85"/>
      <c r="Y85"/>
      <c r="Z85"/>
      <c r="AA85" s="26"/>
      <c r="AB85"/>
      <c r="AC85"/>
      <c r="AD85"/>
      <c r="AE85" s="26"/>
      <c r="AF85"/>
      <c r="AG85"/>
      <c r="AH85"/>
      <c r="AI85"/>
      <c r="AJ85"/>
    </row>
    <row r="86" spans="1:36" ht="20.55" customHeight="1"/>
    <row r="87" spans="1:36" s="8" customFormat="1" ht="20.55" customHeight="1">
      <c r="A87" s="19"/>
      <c r="B87" s="35"/>
      <c r="C87"/>
      <c r="D87" s="2"/>
      <c r="E87"/>
      <c r="F87"/>
      <c r="G87" s="26"/>
      <c r="H87"/>
      <c r="I87"/>
      <c r="J87"/>
      <c r="K87" s="26"/>
      <c r="L87"/>
      <c r="M87"/>
      <c r="N87" s="2"/>
      <c r="O87" s="26"/>
      <c r="P87" s="2"/>
      <c r="Q87"/>
      <c r="R87"/>
      <c r="S87" s="26"/>
      <c r="T87"/>
      <c r="U87"/>
      <c r="V87"/>
      <c r="W87" s="26"/>
      <c r="X87"/>
      <c r="Y87"/>
      <c r="Z87"/>
      <c r="AA87" s="26"/>
      <c r="AB87"/>
      <c r="AC87"/>
      <c r="AD87"/>
      <c r="AE87" s="26"/>
      <c r="AF87"/>
      <c r="AG87"/>
      <c r="AH87"/>
      <c r="AI87"/>
      <c r="AJ87"/>
    </row>
    <row r="88" spans="1:36" ht="20.55" customHeight="1"/>
    <row r="89" spans="1:36" s="8" customFormat="1" ht="20.55" customHeight="1">
      <c r="A89" s="19"/>
      <c r="B89" s="35"/>
      <c r="C89"/>
      <c r="D89" s="2"/>
      <c r="E89"/>
      <c r="F89"/>
      <c r="G89" s="26"/>
      <c r="H89"/>
      <c r="I89"/>
      <c r="J89"/>
      <c r="K89" s="26"/>
      <c r="L89"/>
      <c r="M89"/>
      <c r="N89" s="2"/>
      <c r="O89" s="26"/>
      <c r="P89" s="2"/>
      <c r="Q89"/>
      <c r="R89"/>
      <c r="S89" s="26"/>
      <c r="T89"/>
      <c r="U89"/>
      <c r="V89"/>
      <c r="W89" s="26"/>
      <c r="X89"/>
      <c r="Y89"/>
      <c r="Z89"/>
      <c r="AA89" s="26"/>
      <c r="AB89"/>
      <c r="AC89"/>
      <c r="AD89"/>
      <c r="AE89" s="26"/>
      <c r="AF89"/>
      <c r="AG89"/>
      <c r="AH89"/>
      <c r="AI89"/>
      <c r="AJ89"/>
    </row>
    <row r="90" spans="1:36" ht="20.55" customHeight="1"/>
    <row r="92" spans="1:36" s="9" customFormat="1" ht="19.2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4" spans="1:36" s="8" customForma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5" customHeight="1"/>
    <row r="96" spans="1:36" s="8" customFormat="1" ht="24.4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4.45" customHeight="1"/>
    <row r="98" spans="1:36" s="8" customFormat="1" ht="20.55" customHeight="1">
      <c r="A98" s="19"/>
      <c r="B98" s="35"/>
      <c r="C98"/>
      <c r="D98" s="2"/>
      <c r="E98"/>
      <c r="F98"/>
      <c r="G98" s="26"/>
      <c r="H98"/>
      <c r="I98"/>
      <c r="J98"/>
      <c r="K98" s="26"/>
      <c r="L98"/>
      <c r="M98"/>
      <c r="N98" s="2"/>
      <c r="O98" s="26"/>
      <c r="P98" s="2"/>
      <c r="Q98"/>
      <c r="R98"/>
      <c r="S98" s="26"/>
      <c r="T98"/>
      <c r="U98"/>
      <c r="V98"/>
      <c r="W98" s="26"/>
      <c r="X98"/>
      <c r="Y98"/>
      <c r="Z98"/>
      <c r="AA98" s="26"/>
      <c r="AB98"/>
      <c r="AC98"/>
      <c r="AD98"/>
      <c r="AE98" s="26"/>
      <c r="AF98"/>
      <c r="AG98"/>
      <c r="AH98"/>
      <c r="AI98"/>
      <c r="AJ98"/>
    </row>
    <row r="99" spans="1:36" ht="20.55" customHeight="1"/>
    <row r="100" spans="1:36" s="8" customFormat="1" ht="20.55" customHeight="1">
      <c r="A100" s="19"/>
      <c r="B100" s="35"/>
      <c r="C100"/>
      <c r="D100" s="2"/>
      <c r="E100"/>
      <c r="F100"/>
      <c r="G100" s="26"/>
      <c r="H100"/>
      <c r="I100"/>
      <c r="J100"/>
      <c r="K100" s="26"/>
      <c r="L100"/>
      <c r="M100"/>
      <c r="N100" s="2"/>
      <c r="O100" s="26"/>
      <c r="P100" s="2"/>
      <c r="Q100"/>
      <c r="R100"/>
      <c r="S100" s="26"/>
      <c r="T100"/>
      <c r="U100"/>
      <c r="V100"/>
      <c r="W100" s="26"/>
      <c r="X100"/>
      <c r="Y100"/>
      <c r="Z100"/>
      <c r="AA100" s="26"/>
      <c r="AB100"/>
      <c r="AC100"/>
      <c r="AD100"/>
      <c r="AE100" s="26"/>
      <c r="AF100"/>
      <c r="AG100"/>
      <c r="AH100"/>
      <c r="AI100"/>
      <c r="AJ100"/>
    </row>
    <row r="101" spans="1:36" ht="20.55" customHeight="1"/>
    <row r="102" spans="1:36" s="8" customFormat="1" ht="22.2" customHeight="1">
      <c r="A102" s="19"/>
      <c r="B102" s="35"/>
      <c r="C102"/>
      <c r="D102" s="2"/>
      <c r="E102"/>
      <c r="F102"/>
      <c r="G102" s="26"/>
      <c r="H102"/>
      <c r="I102"/>
      <c r="J102"/>
      <c r="K102" s="26"/>
      <c r="L102"/>
      <c r="M102"/>
      <c r="N102" s="2"/>
      <c r="O102" s="26"/>
      <c r="P102" s="2"/>
      <c r="Q102"/>
      <c r="R102"/>
      <c r="S102" s="26"/>
      <c r="T102"/>
      <c r="U102"/>
      <c r="V102"/>
      <c r="W102" s="26"/>
      <c r="X102"/>
      <c r="Y102"/>
      <c r="Z102"/>
      <c r="AA102" s="26"/>
      <c r="AB102"/>
      <c r="AC102"/>
      <c r="AD102"/>
      <c r="AE102" s="26"/>
      <c r="AF102"/>
      <c r="AG102"/>
      <c r="AH102"/>
      <c r="AI102"/>
      <c r="AJ102"/>
    </row>
    <row r="103" spans="1:36" ht="20.55" customHeight="1"/>
    <row r="104" spans="1:36" s="8" customFormat="1" ht="20.55" customHeight="1">
      <c r="A104" s="19"/>
      <c r="B104" s="35"/>
      <c r="C104"/>
      <c r="D104" s="2"/>
      <c r="E104"/>
      <c r="F104"/>
      <c r="G104" s="26"/>
      <c r="H104"/>
      <c r="I104"/>
      <c r="J104"/>
      <c r="K104" s="26"/>
      <c r="L104"/>
      <c r="M104"/>
      <c r="N104" s="2"/>
      <c r="O104" s="26"/>
      <c r="P104" s="2"/>
      <c r="Q104"/>
      <c r="R104"/>
      <c r="S104" s="26"/>
      <c r="T104"/>
      <c r="U104"/>
      <c r="V104"/>
      <c r="W104" s="26"/>
      <c r="X104"/>
      <c r="Y104"/>
      <c r="Z104"/>
      <c r="AA104" s="26"/>
      <c r="AB104"/>
      <c r="AC104"/>
      <c r="AD104"/>
      <c r="AE104" s="26"/>
      <c r="AF104"/>
      <c r="AG104"/>
      <c r="AH104"/>
      <c r="AI104"/>
      <c r="AJ104"/>
    </row>
    <row r="105" spans="1:36" ht="20.55" customHeight="1"/>
    <row r="106" spans="1:36" s="8" customFormat="1" ht="20.55" customHeight="1">
      <c r="A106" s="19"/>
      <c r="B106" s="35"/>
      <c r="C106"/>
      <c r="D106" s="2"/>
      <c r="E106"/>
      <c r="F106"/>
      <c r="G106" s="26"/>
      <c r="H106"/>
      <c r="I106"/>
      <c r="J106"/>
      <c r="K106" s="26"/>
      <c r="L106"/>
      <c r="M106"/>
      <c r="N106" s="2"/>
      <c r="O106" s="26"/>
      <c r="P106" s="2"/>
      <c r="Q106"/>
      <c r="R106"/>
      <c r="S106" s="26"/>
      <c r="T106"/>
      <c r="U106"/>
      <c r="V106"/>
      <c r="W106" s="26"/>
      <c r="X106"/>
      <c r="Y106"/>
      <c r="Z106"/>
      <c r="AA106" s="26"/>
      <c r="AB106"/>
      <c r="AC106"/>
      <c r="AD106"/>
      <c r="AE106" s="26"/>
      <c r="AF106"/>
      <c r="AG106"/>
      <c r="AH106"/>
      <c r="AI106"/>
      <c r="AJ106"/>
    </row>
    <row r="107" spans="1:36" ht="20.55" customHeight="1"/>
    <row r="108" spans="1:36" s="8" customFormat="1" ht="20.55" customHeight="1">
      <c r="A108" s="19"/>
      <c r="B108" s="35"/>
      <c r="C108"/>
      <c r="D108" s="2"/>
      <c r="E108"/>
      <c r="F108"/>
      <c r="G108" s="26"/>
      <c r="H108"/>
      <c r="I108"/>
      <c r="J108"/>
      <c r="K108" s="26"/>
      <c r="L108"/>
      <c r="M108"/>
      <c r="N108" s="2"/>
      <c r="O108" s="26"/>
      <c r="P108" s="2"/>
      <c r="Q108"/>
      <c r="R108"/>
      <c r="S108" s="26"/>
      <c r="T108"/>
      <c r="U108"/>
      <c r="V108"/>
      <c r="W108" s="26"/>
      <c r="X108"/>
      <c r="Y108"/>
      <c r="Z108"/>
      <c r="AA108" s="26"/>
      <c r="AB108"/>
      <c r="AC108"/>
      <c r="AD108"/>
      <c r="AE108" s="26"/>
      <c r="AF108"/>
      <c r="AG108"/>
      <c r="AH108"/>
      <c r="AI108"/>
      <c r="AJ108"/>
    </row>
    <row r="109" spans="1:36" ht="20.55" customHeight="1"/>
    <row r="110" spans="1:36" s="8" customFormat="1" ht="20.55" customHeight="1">
      <c r="A110" s="19"/>
      <c r="B110" s="35"/>
      <c r="C110"/>
      <c r="D110" s="2"/>
      <c r="E110"/>
      <c r="F110"/>
      <c r="G110" s="26"/>
      <c r="H110"/>
      <c r="I110"/>
      <c r="J110"/>
      <c r="K110" s="26"/>
      <c r="L110"/>
      <c r="M110"/>
      <c r="N110" s="2"/>
      <c r="O110" s="26"/>
      <c r="P110" s="2"/>
      <c r="Q110"/>
      <c r="R110"/>
      <c r="S110" s="26"/>
      <c r="T110"/>
      <c r="U110"/>
      <c r="V110"/>
      <c r="W110" s="26"/>
      <c r="X110"/>
      <c r="Y110"/>
      <c r="Z110"/>
      <c r="AA110" s="26"/>
      <c r="AB110"/>
      <c r="AC110"/>
      <c r="AD110"/>
      <c r="AE110" s="26"/>
      <c r="AF110"/>
      <c r="AG110"/>
      <c r="AH110"/>
      <c r="AI110"/>
      <c r="AJ110"/>
    </row>
  </sheetData>
  <autoFilter ref="A1:AJ70" xr:uid="{83CF93B3-C431-49F1-A590-E27AEBEF8623}">
    <sortState xmlns:xlrd2="http://schemas.microsoft.com/office/spreadsheetml/2017/richdata2" ref="A2:AJ70">
      <sortCondition ref="D1:D70"/>
    </sortState>
  </autoFilter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952B-9BF5-6F4E-A587-B868FA27D1BD}">
  <dimension ref="A1:BH188"/>
  <sheetViews>
    <sheetView tabSelected="1" view="pageBreakPreview" zoomScaleNormal="100" zoomScaleSheetLayoutView="100" workbookViewId="0">
      <pane ySplit="1" topLeftCell="A2" activePane="bottomLeft" state="frozen"/>
      <selection activeCell="AD1" sqref="AD1"/>
      <selection pane="bottomLeft" activeCell="AN6" sqref="AN6"/>
    </sheetView>
  </sheetViews>
  <sheetFormatPr defaultColWidth="8.77734375" defaultRowHeight="14.4"/>
  <cols>
    <col min="1" max="1" width="19.33203125" bestFit="1" customWidth="1"/>
    <col min="2" max="2" width="15" style="2" bestFit="1" customWidth="1"/>
    <col min="3" max="3" width="13.77734375" bestFit="1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1.4414062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1.44140625" bestFit="1" customWidth="1"/>
    <col min="19" max="19" width="14" bestFit="1" customWidth="1"/>
    <col min="20" max="20" width="11.44140625" style="26" customWidth="1"/>
    <col min="21" max="22" width="12.6640625" customWidth="1"/>
    <col min="23" max="23" width="11.4414062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1.4414062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0" customFormat="1">
      <c r="A2" s="231" t="s">
        <v>263</v>
      </c>
      <c r="B2" s="221" t="s">
        <v>261</v>
      </c>
      <c r="C2" s="235">
        <v>0.39930555555555558</v>
      </c>
      <c r="D2" s="235">
        <v>0.40277777777777773</v>
      </c>
      <c r="E2" s="211">
        <f>SUM(D2-C2)</f>
        <v>3.4722222222221544E-3</v>
      </c>
      <c r="F2" s="220">
        <v>199</v>
      </c>
      <c r="G2" s="223">
        <v>199</v>
      </c>
      <c r="H2" s="235">
        <v>0.40833333333333338</v>
      </c>
      <c r="I2" s="235">
        <v>0.41111111111111115</v>
      </c>
      <c r="J2" s="211">
        <f>SUM(I2-H2)</f>
        <v>2.7777777777777679E-3</v>
      </c>
      <c r="K2" s="220">
        <v>134.84</v>
      </c>
      <c r="L2" s="223">
        <f>SUM(K2*0.6)</f>
        <v>80.903999999999996</v>
      </c>
      <c r="M2" s="235">
        <v>0.41666666666666669</v>
      </c>
      <c r="N2" s="235">
        <v>0.41875000000000001</v>
      </c>
      <c r="O2" s="211">
        <f>SUM(N2-M2)</f>
        <v>2.0833333333333259E-3</v>
      </c>
      <c r="P2" s="208">
        <v>184.36</v>
      </c>
      <c r="Q2" s="223">
        <f>SUM(P2*0.6)</f>
        <v>110.616</v>
      </c>
      <c r="R2" s="235">
        <v>0.42708333333333331</v>
      </c>
      <c r="S2" s="235">
        <v>0.43055555555555558</v>
      </c>
      <c r="T2" s="211">
        <f>SUM(S2-R2)</f>
        <v>3.4722222222222654E-3</v>
      </c>
      <c r="U2" s="208">
        <v>92.92</v>
      </c>
      <c r="V2" s="223">
        <f>SUM(U2*0.6)</f>
        <v>55.752000000000002</v>
      </c>
      <c r="W2" s="235">
        <v>0.43888888888888888</v>
      </c>
      <c r="X2" s="235">
        <v>0.44027777777777777</v>
      </c>
      <c r="Y2" s="211">
        <f>SUM(X2-W2)</f>
        <v>1.388888888888884E-3</v>
      </c>
      <c r="Z2" s="224">
        <v>-5</v>
      </c>
      <c r="AA2" s="223">
        <v>-5</v>
      </c>
      <c r="AB2" s="235">
        <v>0.44375000000000003</v>
      </c>
      <c r="AC2" s="235">
        <v>0.44513888888888892</v>
      </c>
      <c r="AD2" s="211">
        <f>SUM(AC2-AB2)</f>
        <v>1.388888888888884E-3</v>
      </c>
      <c r="AE2" s="224">
        <v>199</v>
      </c>
      <c r="AF2" s="223">
        <v>199</v>
      </c>
      <c r="AG2" s="235">
        <v>0.45069444444444445</v>
      </c>
      <c r="AH2" s="235">
        <v>0.4513888888888889</v>
      </c>
      <c r="AI2" s="211">
        <f>SUM(AH2-AG2)</f>
        <v>6.9444444444444198E-4</v>
      </c>
      <c r="AJ2" s="226">
        <f>SUM(E2+J2+O2+T2+Y2+AD2+AI2)</f>
        <v>1.5277777777777724E-2</v>
      </c>
      <c r="AK2" s="227">
        <f>SUM(G2+L2+Q2+V2+AA2+AF2)</f>
        <v>640.27199999999993</v>
      </c>
      <c r="AL2" s="228">
        <f>AK2/85400</f>
        <v>7.4973302107728332E-3</v>
      </c>
      <c r="AM2" s="228">
        <f>SUM(AJ2+AL2)</f>
        <v>2.2775107988550557E-2</v>
      </c>
      <c r="AN2" s="225">
        <v>1</v>
      </c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</row>
    <row r="3" spans="1:60" s="229" customFormat="1">
      <c r="A3" s="231" t="s">
        <v>278</v>
      </c>
      <c r="B3" s="221" t="s">
        <v>261</v>
      </c>
      <c r="C3" s="235">
        <v>0.54513888888888895</v>
      </c>
      <c r="D3" s="235">
        <v>0.54722222222222217</v>
      </c>
      <c r="E3" s="211">
        <f>SUM(D3-C3)</f>
        <v>2.0833333333332149E-3</v>
      </c>
      <c r="F3" s="220">
        <v>162.47</v>
      </c>
      <c r="G3" s="223">
        <f>SUM(F3*0.6)</f>
        <v>97.481999999999999</v>
      </c>
      <c r="H3" s="235">
        <v>0.55208333333333337</v>
      </c>
      <c r="I3" s="235">
        <v>0.55625000000000002</v>
      </c>
      <c r="J3" s="211">
        <f>SUM(I3-H3)</f>
        <v>4.1666666666666519E-3</v>
      </c>
      <c r="K3" s="220">
        <v>53.32</v>
      </c>
      <c r="L3" s="223">
        <f>SUM(K3*0.6)</f>
        <v>31.991999999999997</v>
      </c>
      <c r="M3" s="235">
        <v>0.56111111111111112</v>
      </c>
      <c r="N3" s="235">
        <v>0.5625</v>
      </c>
      <c r="O3" s="211">
        <f>SUM(N3-M3)</f>
        <v>1.388888888888884E-3</v>
      </c>
      <c r="P3" s="208">
        <v>152.84</v>
      </c>
      <c r="Q3" s="223">
        <f>SUM(P3*0.6)</f>
        <v>91.703999999999994</v>
      </c>
      <c r="R3" s="235">
        <v>0.56527777777777777</v>
      </c>
      <c r="S3" s="235">
        <v>0.57291666666666663</v>
      </c>
      <c r="T3" s="211">
        <f>SUM(S3-R3)</f>
        <v>7.6388888888888618E-3</v>
      </c>
      <c r="U3" s="208">
        <v>50.92</v>
      </c>
      <c r="V3" s="223">
        <f>SUM(U3*0.6)</f>
        <v>30.552</v>
      </c>
      <c r="W3" s="235">
        <v>0.57638888888888895</v>
      </c>
      <c r="X3" s="235">
        <v>0.57847222222222217</v>
      </c>
      <c r="Y3" s="211">
        <f>SUM(X3-W3)</f>
        <v>2.0833333333332149E-3</v>
      </c>
      <c r="Z3" s="224">
        <v>-5</v>
      </c>
      <c r="AA3" s="223">
        <v>-5</v>
      </c>
      <c r="AB3" s="235">
        <v>0.58124999999999993</v>
      </c>
      <c r="AC3" s="235">
        <v>0.58333333333333337</v>
      </c>
      <c r="AD3" s="211">
        <f>SUM(AC3-AB3)</f>
        <v>2.083333333333437E-3</v>
      </c>
      <c r="AE3" s="224">
        <v>149.76</v>
      </c>
      <c r="AF3" s="223">
        <f>SUM(AE3*0.6)</f>
        <v>89.855999999999995</v>
      </c>
      <c r="AG3" s="235">
        <v>0.58958333333333335</v>
      </c>
      <c r="AH3" s="235">
        <v>0.58958333333333335</v>
      </c>
      <c r="AI3" s="211">
        <f>SUM(AH3-AG3)</f>
        <v>0</v>
      </c>
      <c r="AJ3" s="226">
        <f>SUM(E3+J3+O3+T3+Y3+AD3+AI3)</f>
        <v>1.9444444444444264E-2</v>
      </c>
      <c r="AK3" s="227">
        <f>SUM(G3+L3+Q3+V3+AA3+AF3)</f>
        <v>336.58600000000001</v>
      </c>
      <c r="AL3" s="228">
        <f>AK3/85400</f>
        <v>3.9412880562060895E-3</v>
      </c>
      <c r="AM3" s="228">
        <f>SUM(AJ3+AL3)</f>
        <v>2.3385732500650354E-2</v>
      </c>
      <c r="AN3" s="225">
        <v>2</v>
      </c>
    </row>
    <row r="4" spans="1:60" s="230" customFormat="1">
      <c r="A4" s="231" t="s">
        <v>279</v>
      </c>
      <c r="B4" s="221" t="s">
        <v>261</v>
      </c>
      <c r="C4" s="235">
        <v>0.37361111111111112</v>
      </c>
      <c r="D4" s="235">
        <v>0.37777777777777777</v>
      </c>
      <c r="E4" s="211">
        <f>SUM(D4-C4)</f>
        <v>4.1666666666666519E-3</v>
      </c>
      <c r="F4" s="220">
        <v>91.81</v>
      </c>
      <c r="G4" s="223">
        <f>SUM(F4*0.6)</f>
        <v>55.085999999999999</v>
      </c>
      <c r="H4" s="235">
        <v>0.38125000000000003</v>
      </c>
      <c r="I4" s="235">
        <v>0.38680555555555557</v>
      </c>
      <c r="J4" s="211">
        <f>SUM(I4-H4)</f>
        <v>5.5555555555555358E-3</v>
      </c>
      <c r="K4" s="220">
        <v>78.52</v>
      </c>
      <c r="L4" s="223">
        <f>SUM(K4*0.6)</f>
        <v>47.111999999999995</v>
      </c>
      <c r="M4" s="235">
        <v>0.39166666666666666</v>
      </c>
      <c r="N4" s="235">
        <v>0.39583333333333331</v>
      </c>
      <c r="O4" s="211">
        <f>SUM(N4-M4)</f>
        <v>4.1666666666666519E-3</v>
      </c>
      <c r="P4" s="208">
        <v>74.38</v>
      </c>
      <c r="Q4" s="223">
        <f>SUM(P4*0.6)</f>
        <v>44.627999999999993</v>
      </c>
      <c r="R4" s="235">
        <v>0.39930555555555558</v>
      </c>
      <c r="S4" s="235">
        <v>0.40416666666666662</v>
      </c>
      <c r="T4" s="211">
        <f>SUM(S4-R4)</f>
        <v>4.8611111111110383E-3</v>
      </c>
      <c r="U4" s="208">
        <v>70.83</v>
      </c>
      <c r="V4" s="223">
        <f>SUM(U4*0.6)</f>
        <v>42.497999999999998</v>
      </c>
      <c r="W4" s="235">
        <v>0.40833333333333338</v>
      </c>
      <c r="X4" s="235">
        <v>0.41111111111111115</v>
      </c>
      <c r="Y4" s="211">
        <f>SUM(X4-W4)</f>
        <v>2.7777777777777679E-3</v>
      </c>
      <c r="Z4" s="224">
        <v>0</v>
      </c>
      <c r="AA4" s="223">
        <f>SUM(Z4*0.6)</f>
        <v>0</v>
      </c>
      <c r="AB4" s="235">
        <v>0.41250000000000003</v>
      </c>
      <c r="AC4" s="235">
        <v>0.4152777777777778</v>
      </c>
      <c r="AD4" s="211">
        <f>SUM(AC4-AB4)</f>
        <v>2.7777777777777679E-3</v>
      </c>
      <c r="AE4" s="224">
        <v>199</v>
      </c>
      <c r="AF4" s="223">
        <v>199</v>
      </c>
      <c r="AG4" s="235">
        <v>0.4201388888888889</v>
      </c>
      <c r="AH4" s="235">
        <v>0.42152777777777778</v>
      </c>
      <c r="AI4" s="211">
        <f>SUM(AH4-AG4)</f>
        <v>1.388888888888884E-3</v>
      </c>
      <c r="AJ4" s="226">
        <f>SUM(E4+J4+O4+T4+Y4+AD4+AI4)</f>
        <v>2.5694444444444298E-2</v>
      </c>
      <c r="AK4" s="227">
        <f>SUM(G4+L4+Q4+V4+AA4+AF4)</f>
        <v>388.32399999999996</v>
      </c>
      <c r="AL4" s="228">
        <f>AK4/85400</f>
        <v>4.54711943793911E-3</v>
      </c>
      <c r="AM4" s="228">
        <f>SUM(AJ4+AL4)</f>
        <v>3.0241563882383408E-2</v>
      </c>
      <c r="AN4" s="225">
        <v>3</v>
      </c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</row>
    <row r="5" spans="1:60" s="230" customFormat="1">
      <c r="A5" s="231" t="s">
        <v>260</v>
      </c>
      <c r="B5" s="221" t="s">
        <v>261</v>
      </c>
      <c r="C5" s="235">
        <v>0.38541666666666669</v>
      </c>
      <c r="D5" s="235">
        <v>0.38958333333333334</v>
      </c>
      <c r="E5" s="211">
        <f>SUM(D5-C5)</f>
        <v>4.1666666666666519E-3</v>
      </c>
      <c r="F5" s="220">
        <v>198.88</v>
      </c>
      <c r="G5" s="223">
        <f>SUM(F5*0.6)</f>
        <v>119.32799999999999</v>
      </c>
      <c r="H5" s="235">
        <v>0.39444444444444443</v>
      </c>
      <c r="I5" s="235">
        <v>0.39930555555555558</v>
      </c>
      <c r="J5" s="211">
        <f>SUM(I5-H5)</f>
        <v>4.8611111111111494E-3</v>
      </c>
      <c r="K5" s="220">
        <v>199</v>
      </c>
      <c r="L5" s="223">
        <v>199</v>
      </c>
      <c r="M5" s="235">
        <v>0.40416666666666662</v>
      </c>
      <c r="N5" s="235">
        <v>0.40833333333333338</v>
      </c>
      <c r="O5" s="211">
        <f>SUM(N5-M5)</f>
        <v>4.1666666666667629E-3</v>
      </c>
      <c r="P5" s="208">
        <v>199</v>
      </c>
      <c r="Q5" s="223">
        <v>199</v>
      </c>
      <c r="R5" s="235">
        <v>0.41736111111111113</v>
      </c>
      <c r="S5" s="235">
        <v>0.4236111111111111</v>
      </c>
      <c r="T5" s="211">
        <f>SUM(S5-R5)</f>
        <v>6.2499999999999778E-3</v>
      </c>
      <c r="U5" s="208">
        <v>199</v>
      </c>
      <c r="V5" s="223">
        <v>199</v>
      </c>
      <c r="W5" s="235">
        <v>0.42986111111111108</v>
      </c>
      <c r="X5" s="235">
        <v>0.43263888888888885</v>
      </c>
      <c r="Y5" s="211">
        <f>SUM(X5-W5)</f>
        <v>2.7777777777777679E-3</v>
      </c>
      <c r="Z5" s="224">
        <v>0</v>
      </c>
      <c r="AA5" s="223">
        <f>SUM(Z5*0.6)</f>
        <v>0</v>
      </c>
      <c r="AB5" s="235">
        <v>0.43472222222222223</v>
      </c>
      <c r="AC5" s="235">
        <v>0.43611111111111112</v>
      </c>
      <c r="AD5" s="211">
        <f>SUM(AC5-AB5)</f>
        <v>1.388888888888884E-3</v>
      </c>
      <c r="AE5" s="224">
        <v>199</v>
      </c>
      <c r="AF5" s="223">
        <v>199</v>
      </c>
      <c r="AG5" s="235">
        <v>0.44097222222222227</v>
      </c>
      <c r="AH5" s="235">
        <v>0.44166666666666665</v>
      </c>
      <c r="AI5" s="211">
        <f>SUM(AH5-AG5)</f>
        <v>6.9444444444438647E-4</v>
      </c>
      <c r="AJ5" s="226">
        <f>SUM(E5+J5+O5+T5+Y5+AD5+AI5)</f>
        <v>2.430555555555558E-2</v>
      </c>
      <c r="AK5" s="227">
        <f>SUM(G5+L5+Q5+V5+AA5+AF5)</f>
        <v>915.32799999999997</v>
      </c>
      <c r="AL5" s="228">
        <f>AK5/85400</f>
        <v>1.0718126463700234E-2</v>
      </c>
      <c r="AM5" s="228">
        <f>SUM(AJ5+AL5)</f>
        <v>3.5023682019255813E-2</v>
      </c>
      <c r="AN5" s="225">
        <v>4</v>
      </c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</row>
    <row r="6" spans="1:60" s="230" customFormat="1">
      <c r="A6" s="231"/>
      <c r="B6" s="212"/>
      <c r="C6" s="174"/>
      <c r="D6" s="174"/>
      <c r="E6" s="211"/>
      <c r="F6" s="220"/>
      <c r="G6" s="223"/>
      <c r="H6" s="174"/>
      <c r="I6" s="174"/>
      <c r="J6" s="211"/>
      <c r="K6" s="220"/>
      <c r="L6" s="223"/>
      <c r="M6" s="174"/>
      <c r="N6" s="174"/>
      <c r="O6" s="211"/>
      <c r="P6" s="208"/>
      <c r="Q6" s="223"/>
      <c r="R6" s="174"/>
      <c r="S6" s="174"/>
      <c r="T6" s="211"/>
      <c r="U6" s="208"/>
      <c r="V6" s="223"/>
      <c r="W6" s="174"/>
      <c r="X6" s="174"/>
      <c r="Y6" s="211"/>
      <c r="Z6" s="224"/>
      <c r="AA6" s="223"/>
      <c r="AB6" s="211"/>
      <c r="AC6" s="211"/>
      <c r="AD6" s="211"/>
      <c r="AE6" s="224"/>
      <c r="AF6" s="223"/>
      <c r="AG6" s="211"/>
      <c r="AH6" s="211"/>
      <c r="AI6" s="211"/>
      <c r="AJ6" s="226"/>
      <c r="AK6" s="227"/>
      <c r="AL6" s="228"/>
      <c r="AM6" s="228"/>
      <c r="AN6" s="225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</row>
    <row r="7" spans="1:60" s="230" customFormat="1">
      <c r="A7" s="231"/>
      <c r="B7" s="221"/>
      <c r="C7" s="222"/>
      <c r="D7" s="222"/>
      <c r="E7" s="211"/>
      <c r="F7" s="220"/>
      <c r="G7" s="223"/>
      <c r="H7" s="222"/>
      <c r="I7" s="222"/>
      <c r="J7" s="211"/>
      <c r="K7" s="220"/>
      <c r="L7" s="223"/>
      <c r="M7" s="222"/>
      <c r="N7" s="222"/>
      <c r="O7" s="211"/>
      <c r="P7" s="208"/>
      <c r="Q7" s="223"/>
      <c r="R7" s="222"/>
      <c r="S7" s="222"/>
      <c r="T7" s="211"/>
      <c r="U7" s="208"/>
      <c r="V7" s="223"/>
      <c r="W7" s="222"/>
      <c r="X7" s="222"/>
      <c r="Y7" s="211"/>
      <c r="Z7" s="224"/>
      <c r="AA7" s="223"/>
      <c r="AB7" s="232"/>
      <c r="AC7" s="232"/>
      <c r="AD7" s="211"/>
      <c r="AE7" s="224"/>
      <c r="AF7" s="223"/>
      <c r="AG7" s="232"/>
      <c r="AH7" s="232"/>
      <c r="AI7" s="211"/>
      <c r="AJ7" s="226"/>
      <c r="AK7" s="227"/>
      <c r="AL7" s="228"/>
      <c r="AM7" s="228"/>
      <c r="AN7" s="225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</row>
    <row r="8" spans="1:60" s="229" customFormat="1" ht="20.55" customHeight="1">
      <c r="A8" s="231"/>
      <c r="B8" s="212"/>
      <c r="C8" s="174"/>
      <c r="D8" s="174"/>
      <c r="E8" s="211"/>
      <c r="F8" s="220"/>
      <c r="G8" s="223"/>
      <c r="H8" s="174"/>
      <c r="I8" s="174"/>
      <c r="J8" s="211"/>
      <c r="K8" s="220"/>
      <c r="L8" s="223"/>
      <c r="M8" s="174"/>
      <c r="N8" s="174"/>
      <c r="O8" s="211"/>
      <c r="P8" s="208"/>
      <c r="Q8" s="223"/>
      <c r="R8" s="174"/>
      <c r="S8" s="174"/>
      <c r="T8" s="211"/>
      <c r="U8" s="208"/>
      <c r="V8" s="223"/>
      <c r="W8" s="174"/>
      <c r="X8" s="174"/>
      <c r="Y8" s="211"/>
      <c r="Z8" s="224"/>
      <c r="AA8" s="223"/>
      <c r="AB8" s="211"/>
      <c r="AC8" s="211"/>
      <c r="AD8" s="211"/>
      <c r="AE8" s="224"/>
      <c r="AF8" s="223"/>
      <c r="AG8" s="211"/>
      <c r="AH8" s="211"/>
      <c r="AI8" s="211"/>
      <c r="AJ8" s="226"/>
      <c r="AK8" s="227"/>
      <c r="AL8" s="228"/>
      <c r="AM8" s="228"/>
      <c r="AN8" s="12"/>
    </row>
    <row r="9" spans="1:60">
      <c r="E9"/>
      <c r="J9"/>
      <c r="O9"/>
      <c r="T9"/>
      <c r="Y9"/>
      <c r="AD9"/>
      <c r="AI9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  <row r="187" spans="5:35">
      <c r="E187"/>
      <c r="J187"/>
      <c r="O187"/>
      <c r="T187"/>
      <c r="Y187"/>
      <c r="AD187"/>
      <c r="AI187"/>
    </row>
    <row r="188" spans="5:35">
      <c r="E188"/>
      <c r="J188"/>
      <c r="O188"/>
      <c r="T188"/>
      <c r="Y188"/>
      <c r="AD188"/>
      <c r="AI188"/>
    </row>
  </sheetData>
  <autoFilter ref="A1:AN8" xr:uid="{83CF93B3-C431-49F1-A590-E27AEBEF8623}">
    <sortState xmlns:xlrd2="http://schemas.microsoft.com/office/spreadsheetml/2017/richdata2" ref="A2:AN8">
      <sortCondition ref="AM1:AM8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D013-B6A8-9E4D-9636-56E7ED3DAE70}">
  <dimension ref="A1:BH186"/>
  <sheetViews>
    <sheetView view="pageBreakPreview" zoomScale="70" zoomScaleNormal="100" zoomScaleSheetLayoutView="70" workbookViewId="0">
      <pane ySplit="1" topLeftCell="A2" activePane="bottomLeft" state="frozen"/>
      <selection activeCell="AD1" sqref="AD1"/>
      <selection pane="bottomLeft" activeCell="AN8" sqref="AN8"/>
    </sheetView>
  </sheetViews>
  <sheetFormatPr defaultColWidth="8.77734375" defaultRowHeight="14.4"/>
  <cols>
    <col min="1" max="1" width="36.44140625" bestFit="1" customWidth="1"/>
    <col min="2" max="2" width="16" style="2" bestFit="1" customWidth="1"/>
    <col min="3" max="3" width="16.109375" bestFit="1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5.8867187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5.88671875" bestFit="1" customWidth="1"/>
    <col min="19" max="19" width="14" bestFit="1" customWidth="1"/>
    <col min="20" max="20" width="11.44140625" style="26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7.2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29" customFormat="1" ht="20.55" customHeight="1">
      <c r="A2" s="231" t="s">
        <v>269</v>
      </c>
      <c r="B2" s="221" t="s">
        <v>270</v>
      </c>
      <c r="C2" s="235">
        <v>0.3923611111111111</v>
      </c>
      <c r="D2" s="235">
        <v>0.39513888888888887</v>
      </c>
      <c r="E2" s="211">
        <f t="shared" ref="E2:E7" si="0">SUM(D2-C2)</f>
        <v>2.7777777777777679E-3</v>
      </c>
      <c r="F2" s="220">
        <v>102.2</v>
      </c>
      <c r="G2" s="223">
        <f>SUM(F2*0.6)</f>
        <v>61.32</v>
      </c>
      <c r="H2" s="235">
        <v>0.40069444444444446</v>
      </c>
      <c r="I2" s="235">
        <v>0.40416666666666662</v>
      </c>
      <c r="J2" s="211">
        <f t="shared" ref="J2:J7" si="1">SUM(I2-H2)</f>
        <v>3.4722222222221544E-3</v>
      </c>
      <c r="K2" s="220">
        <v>67.209999999999994</v>
      </c>
      <c r="L2" s="223">
        <f>SUM(K2*0.6)</f>
        <v>40.325999999999993</v>
      </c>
      <c r="M2" s="235">
        <v>0.40902777777777777</v>
      </c>
      <c r="N2" s="235">
        <v>0.41250000000000003</v>
      </c>
      <c r="O2" s="211">
        <f t="shared" ref="O2:O7" si="2">SUM(N2-M2)</f>
        <v>3.4722222222222654E-3</v>
      </c>
      <c r="P2" s="208">
        <v>93.52</v>
      </c>
      <c r="Q2" s="223">
        <f>SUM(P2*0.6)</f>
        <v>56.111999999999995</v>
      </c>
      <c r="R2" s="235">
        <v>0.42291666666666666</v>
      </c>
      <c r="S2" s="235">
        <v>0.42569444444444443</v>
      </c>
      <c r="T2" s="211">
        <f t="shared" ref="T2:T7" si="3">SUM(S2-R2)</f>
        <v>2.7777777777777679E-3</v>
      </c>
      <c r="U2" s="208">
        <v>36.869999999999997</v>
      </c>
      <c r="V2" s="223">
        <f>SUM(U2*0.6)</f>
        <v>22.121999999999996</v>
      </c>
      <c r="W2" s="235">
        <v>0.43402777777777773</v>
      </c>
      <c r="X2" s="235">
        <v>0.43611111111111112</v>
      </c>
      <c r="Y2" s="211">
        <f t="shared" ref="Y2:Y7" si="4">SUM(X2-W2)</f>
        <v>2.0833333333333814E-3</v>
      </c>
      <c r="Z2" s="224">
        <v>-5</v>
      </c>
      <c r="AA2" s="223">
        <v>-5</v>
      </c>
      <c r="AB2" s="235">
        <v>0.44027777777777777</v>
      </c>
      <c r="AC2" s="235">
        <v>0.44097222222222227</v>
      </c>
      <c r="AD2" s="211">
        <f t="shared" ref="AD2:AD7" si="5">SUM(AC2-AB2)</f>
        <v>6.9444444444449749E-4</v>
      </c>
      <c r="AE2" s="224">
        <v>199</v>
      </c>
      <c r="AF2" s="223">
        <v>199</v>
      </c>
      <c r="AG2" s="235">
        <v>0.4465277777777778</v>
      </c>
      <c r="AH2" s="235">
        <v>0.4465277777777778</v>
      </c>
      <c r="AI2" s="211">
        <f t="shared" ref="AI2:AI7" si="6">SUM(AH2-AG2)</f>
        <v>0</v>
      </c>
      <c r="AJ2" s="226">
        <f t="shared" ref="AJ2:AJ7" si="7">SUM(E2+J2+O2+T2+Y2+AD2+AI2)</f>
        <v>1.5277777777777835E-2</v>
      </c>
      <c r="AK2" s="227">
        <f t="shared" ref="AK2:AK7" si="8">SUM(G2+L2+Q2+V2+AA2+AF2)</f>
        <v>373.88</v>
      </c>
      <c r="AL2" s="228">
        <f t="shared" ref="AL2:AL7" si="9">AK2/85400</f>
        <v>4.3779859484777521E-3</v>
      </c>
      <c r="AM2" s="228">
        <f t="shared" ref="AM2:AM7" si="10">SUM(AJ2+AL2)</f>
        <v>1.9655763726255587E-2</v>
      </c>
      <c r="AN2" s="225">
        <v>1</v>
      </c>
    </row>
    <row r="3" spans="1:60" s="230" customFormat="1" ht="20.55" customHeight="1">
      <c r="A3" s="231" t="s">
        <v>271</v>
      </c>
      <c r="B3" s="221" t="s">
        <v>270</v>
      </c>
      <c r="C3" s="235">
        <v>0.42083333333333334</v>
      </c>
      <c r="D3" s="235">
        <v>0.4236111111111111</v>
      </c>
      <c r="E3" s="211">
        <f t="shared" si="0"/>
        <v>2.7777777777777679E-3</v>
      </c>
      <c r="F3" s="220">
        <v>187.5</v>
      </c>
      <c r="G3" s="223">
        <f>SUM(F3*0.6)</f>
        <v>112.5</v>
      </c>
      <c r="H3" s="235">
        <v>0.4284722222222222</v>
      </c>
      <c r="I3" s="235">
        <v>0.43194444444444446</v>
      </c>
      <c r="J3" s="211">
        <f t="shared" si="1"/>
        <v>3.4722222222222654E-3</v>
      </c>
      <c r="K3" s="220">
        <v>53.35</v>
      </c>
      <c r="L3" s="223">
        <f>SUM(K3*0.6)</f>
        <v>32.01</v>
      </c>
      <c r="M3" s="235">
        <v>0.43541666666666662</v>
      </c>
      <c r="N3" s="235">
        <v>0.4381944444444445</v>
      </c>
      <c r="O3" s="211">
        <f t="shared" si="2"/>
        <v>2.7777777777778789E-3</v>
      </c>
      <c r="P3" s="208">
        <v>124.92</v>
      </c>
      <c r="Q3" s="223">
        <f>SUM(P3*0.6)</f>
        <v>74.951999999999998</v>
      </c>
      <c r="R3" s="235">
        <v>0.44236111111111115</v>
      </c>
      <c r="S3" s="235">
        <v>0.44513888888888892</v>
      </c>
      <c r="T3" s="211">
        <f t="shared" si="3"/>
        <v>2.7777777777777679E-3</v>
      </c>
      <c r="U3" s="208">
        <v>45.2</v>
      </c>
      <c r="V3" s="223">
        <f>SUM(U3*0.6)</f>
        <v>27.12</v>
      </c>
      <c r="W3" s="235">
        <v>0.4465277777777778</v>
      </c>
      <c r="X3" s="235">
        <v>0.44930555555555557</v>
      </c>
      <c r="Y3" s="211">
        <f t="shared" si="4"/>
        <v>2.7777777777777679E-3</v>
      </c>
      <c r="Z3" s="224">
        <v>-5</v>
      </c>
      <c r="AA3" s="223">
        <v>-5</v>
      </c>
      <c r="AB3" s="235">
        <v>0.45277777777777778</v>
      </c>
      <c r="AC3" s="235">
        <v>0.45347222222222222</v>
      </c>
      <c r="AD3" s="211">
        <f t="shared" si="5"/>
        <v>6.9444444444444198E-4</v>
      </c>
      <c r="AE3" s="224">
        <v>199</v>
      </c>
      <c r="AF3" s="223">
        <v>199</v>
      </c>
      <c r="AG3" s="235">
        <v>0.4597222222222222</v>
      </c>
      <c r="AH3" s="235">
        <v>0.4604166666666667</v>
      </c>
      <c r="AI3" s="211">
        <f t="shared" si="6"/>
        <v>6.9444444444449749E-4</v>
      </c>
      <c r="AJ3" s="226">
        <f t="shared" si="7"/>
        <v>1.5972222222222388E-2</v>
      </c>
      <c r="AK3" s="227">
        <f t="shared" si="8"/>
        <v>440.58199999999999</v>
      </c>
      <c r="AL3" s="228">
        <f t="shared" si="9"/>
        <v>5.1590398126463701E-3</v>
      </c>
      <c r="AM3" s="228">
        <f t="shared" si="10"/>
        <v>2.1131262034868759E-2</v>
      </c>
      <c r="AN3" s="225">
        <v>2</v>
      </c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</row>
    <row r="4" spans="1:60" s="229" customFormat="1" ht="20.55" customHeight="1">
      <c r="A4" s="231" t="s">
        <v>273</v>
      </c>
      <c r="B4" s="221" t="s">
        <v>270</v>
      </c>
      <c r="C4" s="235">
        <v>0.40625</v>
      </c>
      <c r="D4" s="235">
        <v>0.41111111111111115</v>
      </c>
      <c r="E4" s="211">
        <f t="shared" si="0"/>
        <v>4.8611111111111494E-3</v>
      </c>
      <c r="F4" s="220">
        <v>83.38</v>
      </c>
      <c r="G4" s="223">
        <f>SUM(F4*0.6)</f>
        <v>50.027999999999999</v>
      </c>
      <c r="H4" s="235">
        <v>0.41666666666666669</v>
      </c>
      <c r="I4" s="235">
        <v>0.42152777777777778</v>
      </c>
      <c r="J4" s="211">
        <f t="shared" si="1"/>
        <v>4.8611111111110938E-3</v>
      </c>
      <c r="K4" s="220">
        <v>46.6</v>
      </c>
      <c r="L4" s="223">
        <f>SUM(K4*0.6)</f>
        <v>27.96</v>
      </c>
      <c r="M4" s="235">
        <v>0.42499999999999999</v>
      </c>
      <c r="N4" s="235">
        <v>0.42986111111111108</v>
      </c>
      <c r="O4" s="211">
        <f t="shared" si="2"/>
        <v>4.8611111111110938E-3</v>
      </c>
      <c r="P4" s="208">
        <v>110.53</v>
      </c>
      <c r="Q4" s="223">
        <f>SUM(P4*0.6)</f>
        <v>66.317999999999998</v>
      </c>
      <c r="R4" s="235">
        <v>0.43402777777777773</v>
      </c>
      <c r="S4" s="235">
        <v>0.43888888888888888</v>
      </c>
      <c r="T4" s="211">
        <f t="shared" si="3"/>
        <v>4.8611111111111494E-3</v>
      </c>
      <c r="U4" s="208">
        <v>56.11</v>
      </c>
      <c r="V4" s="223">
        <f>SUM(U4*0.6)</f>
        <v>33.665999999999997</v>
      </c>
      <c r="W4" s="235">
        <v>0.44236111111111115</v>
      </c>
      <c r="X4" s="235">
        <v>0.44513888888888892</v>
      </c>
      <c r="Y4" s="211">
        <f t="shared" si="4"/>
        <v>2.7777777777777679E-3</v>
      </c>
      <c r="Z4" s="224">
        <v>0</v>
      </c>
      <c r="AA4" s="223">
        <v>0</v>
      </c>
      <c r="AB4" s="235">
        <v>0.44930555555555557</v>
      </c>
      <c r="AC4" s="235">
        <v>0.4513888888888889</v>
      </c>
      <c r="AD4" s="211">
        <f t="shared" si="5"/>
        <v>2.0833333333333259E-3</v>
      </c>
      <c r="AE4" s="224">
        <v>152.47999999999999</v>
      </c>
      <c r="AF4" s="223">
        <f>SUM(AE4*0.6)</f>
        <v>91.487999999999985</v>
      </c>
      <c r="AG4" s="235">
        <v>0.45555555555555555</v>
      </c>
      <c r="AH4" s="235">
        <v>0.45624999999999999</v>
      </c>
      <c r="AI4" s="211">
        <f t="shared" si="6"/>
        <v>6.9444444444444198E-4</v>
      </c>
      <c r="AJ4" s="226">
        <f t="shared" si="7"/>
        <v>2.5000000000000022E-2</v>
      </c>
      <c r="AK4" s="227">
        <f t="shared" si="8"/>
        <v>269.45999999999998</v>
      </c>
      <c r="AL4" s="228">
        <f t="shared" si="9"/>
        <v>3.1552693208430913E-3</v>
      </c>
      <c r="AM4" s="228">
        <f t="shared" si="10"/>
        <v>2.8155269320843113E-2</v>
      </c>
      <c r="AN4" s="225">
        <v>3</v>
      </c>
    </row>
    <row r="5" spans="1:60" s="230" customFormat="1" ht="20.55" customHeight="1">
      <c r="A5" s="231" t="s">
        <v>272</v>
      </c>
      <c r="B5" s="221" t="s">
        <v>270</v>
      </c>
      <c r="C5" s="235">
        <v>0.54861111111111105</v>
      </c>
      <c r="D5" s="235">
        <v>0.55347222222222225</v>
      </c>
      <c r="E5" s="211">
        <f t="shared" si="0"/>
        <v>4.8611111111112049E-3</v>
      </c>
      <c r="F5" s="220">
        <v>105.81</v>
      </c>
      <c r="G5" s="223">
        <f>SUM(F5*0.6)</f>
        <v>63.485999999999997</v>
      </c>
      <c r="H5" s="235">
        <v>0.55902777777777779</v>
      </c>
      <c r="I5" s="235">
        <v>0.56388888888888888</v>
      </c>
      <c r="J5" s="211">
        <f t="shared" si="1"/>
        <v>4.8611111111110938E-3</v>
      </c>
      <c r="K5" s="220">
        <v>34.74</v>
      </c>
      <c r="L5" s="223">
        <f>SUM(K5*0.6)</f>
        <v>20.844000000000001</v>
      </c>
      <c r="M5" s="235">
        <v>0.56874999999999998</v>
      </c>
      <c r="N5" s="235">
        <v>0.57430555555555551</v>
      </c>
      <c r="O5" s="211">
        <f t="shared" si="2"/>
        <v>5.5555555555555358E-3</v>
      </c>
      <c r="P5" s="208">
        <v>132.13999999999999</v>
      </c>
      <c r="Q5" s="223">
        <f>SUM(P5*0.6)</f>
        <v>79.283999999999992</v>
      </c>
      <c r="R5" s="235">
        <v>0.57847222222222217</v>
      </c>
      <c r="S5" s="235">
        <v>0.58402777777777781</v>
      </c>
      <c r="T5" s="211">
        <f t="shared" si="3"/>
        <v>5.5555555555556468E-3</v>
      </c>
      <c r="U5" s="208">
        <v>51.39</v>
      </c>
      <c r="V5" s="223">
        <f>SUM(U5*0.6)</f>
        <v>30.834</v>
      </c>
      <c r="W5" s="235">
        <v>0.58750000000000002</v>
      </c>
      <c r="X5" s="235">
        <v>0.59097222222222223</v>
      </c>
      <c r="Y5" s="211">
        <f t="shared" si="4"/>
        <v>3.4722222222222099E-3</v>
      </c>
      <c r="Z5" s="224">
        <v>0</v>
      </c>
      <c r="AA5" s="223">
        <f>SUM(Z5*0.6)</f>
        <v>0</v>
      </c>
      <c r="AB5" s="235">
        <v>0.59305555555555556</v>
      </c>
      <c r="AC5" s="235">
        <v>0.59583333333333333</v>
      </c>
      <c r="AD5" s="211">
        <f t="shared" si="5"/>
        <v>2.7777777777777679E-3</v>
      </c>
      <c r="AE5" s="224">
        <v>160.97999999999999</v>
      </c>
      <c r="AF5" s="223">
        <f>SUM(AE5*0.6)</f>
        <v>96.587999999999994</v>
      </c>
      <c r="AG5" s="235">
        <v>0.60277777777777775</v>
      </c>
      <c r="AH5" s="235">
        <v>0.60277777777777775</v>
      </c>
      <c r="AI5" s="211">
        <f t="shared" si="6"/>
        <v>0</v>
      </c>
      <c r="AJ5" s="226">
        <f t="shared" si="7"/>
        <v>2.7083333333333459E-2</v>
      </c>
      <c r="AK5" s="227">
        <f t="shared" si="8"/>
        <v>291.03599999999994</v>
      </c>
      <c r="AL5" s="228">
        <f t="shared" si="9"/>
        <v>3.4079156908665099E-3</v>
      </c>
      <c r="AM5" s="228">
        <f t="shared" si="10"/>
        <v>3.049124902419997E-2</v>
      </c>
      <c r="AN5" s="225">
        <v>4</v>
      </c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</row>
    <row r="6" spans="1:60" s="229" customFormat="1" ht="20.55" customHeight="1">
      <c r="A6" s="231" t="s">
        <v>280</v>
      </c>
      <c r="B6" s="221" t="s">
        <v>270</v>
      </c>
      <c r="C6" s="235">
        <v>0.59166666666666667</v>
      </c>
      <c r="D6" s="235">
        <v>0.59791666666666665</v>
      </c>
      <c r="E6" s="211">
        <f t="shared" si="0"/>
        <v>6.2499999999999778E-3</v>
      </c>
      <c r="F6" s="220">
        <v>141.9</v>
      </c>
      <c r="G6" s="223">
        <f>SUM(F6*0.6)</f>
        <v>85.14</v>
      </c>
      <c r="H6" s="235">
        <v>0.6020833333333333</v>
      </c>
      <c r="I6" s="235">
        <v>0.60833333333333328</v>
      </c>
      <c r="J6" s="211">
        <f t="shared" si="1"/>
        <v>6.2499999999999778E-3</v>
      </c>
      <c r="K6" s="220">
        <v>138.30000000000001</v>
      </c>
      <c r="L6" s="223">
        <f>SUM(K6*0.6)</f>
        <v>82.98</v>
      </c>
      <c r="M6" s="235">
        <v>0.61388888888888882</v>
      </c>
      <c r="N6" s="235">
        <v>0.61875000000000002</v>
      </c>
      <c r="O6" s="211">
        <f t="shared" si="2"/>
        <v>4.8611111111112049E-3</v>
      </c>
      <c r="P6" s="208">
        <v>163.87</v>
      </c>
      <c r="Q6" s="223">
        <f>SUM(P6*0.6)</f>
        <v>98.322000000000003</v>
      </c>
      <c r="R6" s="235">
        <v>0.62430555555555556</v>
      </c>
      <c r="S6" s="235">
        <v>0.63194444444444442</v>
      </c>
      <c r="T6" s="211">
        <f t="shared" si="3"/>
        <v>7.6388888888888618E-3</v>
      </c>
      <c r="U6" s="208">
        <v>126.35</v>
      </c>
      <c r="V6" s="223">
        <f>SUM(U6*0.6)</f>
        <v>75.809999999999988</v>
      </c>
      <c r="W6" s="235">
        <v>0.63611111111111118</v>
      </c>
      <c r="X6" s="235">
        <v>0.63680555555555551</v>
      </c>
      <c r="Y6" s="211">
        <f t="shared" si="4"/>
        <v>6.9444444444433095E-4</v>
      </c>
      <c r="Z6" s="224">
        <v>0</v>
      </c>
      <c r="AA6" s="223">
        <f>SUM(Z6*0.6)</f>
        <v>0</v>
      </c>
      <c r="AB6" s="235">
        <v>0.63888888888888895</v>
      </c>
      <c r="AC6" s="235">
        <v>0.64027777777777783</v>
      </c>
      <c r="AD6" s="211">
        <f t="shared" si="5"/>
        <v>1.388888888888884E-3</v>
      </c>
      <c r="AE6" s="224">
        <v>199</v>
      </c>
      <c r="AF6" s="223">
        <v>199</v>
      </c>
      <c r="AG6" s="235">
        <v>0.64374999999999993</v>
      </c>
      <c r="AH6" s="235">
        <v>0.64444444444444449</v>
      </c>
      <c r="AI6" s="211">
        <f t="shared" si="6"/>
        <v>6.94444444444553E-4</v>
      </c>
      <c r="AJ6" s="226">
        <f t="shared" si="7"/>
        <v>2.777777777777779E-2</v>
      </c>
      <c r="AK6" s="227">
        <f t="shared" si="8"/>
        <v>541.25199999999995</v>
      </c>
      <c r="AL6" s="228">
        <f t="shared" si="9"/>
        <v>6.3378454332552684E-3</v>
      </c>
      <c r="AM6" s="228">
        <f t="shared" si="10"/>
        <v>3.4115623211033057E-2</v>
      </c>
      <c r="AN6" s="225">
        <v>5</v>
      </c>
    </row>
    <row r="7" spans="1:60" s="229" customFormat="1" ht="20.55" customHeight="1">
      <c r="A7" s="231" t="s">
        <v>281</v>
      </c>
      <c r="B7" s="19" t="s">
        <v>270</v>
      </c>
      <c r="C7" s="236">
        <v>0.5083333333333333</v>
      </c>
      <c r="D7" s="236">
        <v>0.51736111111111105</v>
      </c>
      <c r="E7" s="211">
        <f t="shared" si="0"/>
        <v>9.0277777777777457E-3</v>
      </c>
      <c r="F7" s="224">
        <v>199</v>
      </c>
      <c r="G7" s="223">
        <v>199</v>
      </c>
      <c r="H7" s="236">
        <v>0.5229166666666667</v>
      </c>
      <c r="I7" s="236">
        <v>0.52986111111111112</v>
      </c>
      <c r="J7" s="211">
        <f t="shared" si="1"/>
        <v>6.9444444444444198E-3</v>
      </c>
      <c r="K7" s="224">
        <v>199</v>
      </c>
      <c r="L7" s="223">
        <v>199</v>
      </c>
      <c r="M7" s="236">
        <v>0.53611111111111109</v>
      </c>
      <c r="N7" s="236">
        <v>0.54097222222222219</v>
      </c>
      <c r="O7" s="211">
        <f t="shared" si="2"/>
        <v>4.8611111111110938E-3</v>
      </c>
      <c r="P7" s="223">
        <v>199</v>
      </c>
      <c r="Q7" s="223">
        <v>199</v>
      </c>
      <c r="R7" s="236">
        <v>0.54722222222222217</v>
      </c>
      <c r="S7" s="236">
        <v>0.55625000000000002</v>
      </c>
      <c r="T7" s="211">
        <f t="shared" si="3"/>
        <v>9.0277777777778567E-3</v>
      </c>
      <c r="U7" s="223">
        <v>199</v>
      </c>
      <c r="V7" s="223">
        <v>199</v>
      </c>
      <c r="W7" s="236">
        <v>0.56180555555555556</v>
      </c>
      <c r="X7" s="236">
        <v>0.56527777777777777</v>
      </c>
      <c r="Y7" s="211">
        <f t="shared" si="4"/>
        <v>3.4722222222222099E-3</v>
      </c>
      <c r="Z7" s="224">
        <v>0</v>
      </c>
      <c r="AA7" s="223">
        <f>SUM(Z7*0.6)</f>
        <v>0</v>
      </c>
      <c r="AB7" s="236">
        <v>0.56805555555555554</v>
      </c>
      <c r="AC7" s="236">
        <v>0.5708333333333333</v>
      </c>
      <c r="AD7" s="211">
        <f t="shared" si="5"/>
        <v>2.7777777777777679E-3</v>
      </c>
      <c r="AE7" s="224">
        <v>199</v>
      </c>
      <c r="AF7" s="223">
        <v>199</v>
      </c>
      <c r="AG7" s="236">
        <v>0.57777777777777783</v>
      </c>
      <c r="AH7" s="236">
        <v>0.57847222222222217</v>
      </c>
      <c r="AI7" s="211">
        <f t="shared" si="6"/>
        <v>6.9444444444433095E-4</v>
      </c>
      <c r="AJ7" s="226">
        <f t="shared" si="7"/>
        <v>3.6805555555555425E-2</v>
      </c>
      <c r="AK7" s="227">
        <f t="shared" si="8"/>
        <v>995</v>
      </c>
      <c r="AL7" s="228">
        <f t="shared" si="9"/>
        <v>1.1651053864168618E-2</v>
      </c>
      <c r="AM7" s="228">
        <f t="shared" si="10"/>
        <v>4.8456609419724045E-2</v>
      </c>
      <c r="AN7" s="12" t="s">
        <v>205</v>
      </c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</sheetData>
  <autoFilter ref="A1:AN1" xr:uid="{83CF93B3-C431-49F1-A590-E27AEBEF8623}">
    <sortState xmlns:xlrd2="http://schemas.microsoft.com/office/spreadsheetml/2017/richdata2" ref="A2:AN7">
      <sortCondition ref="AM1:AM7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C315-FD52-1141-AB46-87894229445D}">
  <dimension ref="A1:BH183"/>
  <sheetViews>
    <sheetView view="pageBreakPreview" zoomScale="70" zoomScaleNormal="100" zoomScaleSheetLayoutView="70" workbookViewId="0">
      <pane ySplit="1" topLeftCell="A2" activePane="bottomLeft" state="frozen"/>
      <selection activeCell="AD1" sqref="AD1"/>
      <selection pane="bottomLeft" activeCell="AN2" sqref="AN2"/>
    </sheetView>
  </sheetViews>
  <sheetFormatPr defaultColWidth="8.77734375" defaultRowHeight="14.4"/>
  <cols>
    <col min="1" max="1" width="19.33203125" bestFit="1" customWidth="1"/>
    <col min="2" max="2" width="14" style="2" bestFit="1" customWidth="1"/>
    <col min="3" max="3" width="16.109375" bestFit="1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1.4414062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1.44140625" bestFit="1" customWidth="1"/>
    <col min="19" max="19" width="14" bestFit="1" customWidth="1"/>
    <col min="20" max="20" width="11.44140625" style="26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7.2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29" customFormat="1">
      <c r="A2" s="231" t="s">
        <v>276</v>
      </c>
      <c r="B2" s="221" t="s">
        <v>277</v>
      </c>
      <c r="C2" s="235">
        <v>0.37916666666666665</v>
      </c>
      <c r="D2" s="235">
        <v>0.3840277777777778</v>
      </c>
      <c r="E2" s="211">
        <f>SUM(D2-C2)</f>
        <v>4.8611111111111494E-3</v>
      </c>
      <c r="F2" s="220">
        <v>180</v>
      </c>
      <c r="G2" s="223">
        <f>SUM(F2*0.6)</f>
        <v>108</v>
      </c>
      <c r="H2" s="235">
        <v>0.3888888888888889</v>
      </c>
      <c r="I2" s="235">
        <v>0.39374999999999999</v>
      </c>
      <c r="J2" s="211">
        <f>SUM(I2-H2)</f>
        <v>4.8611111111110938E-3</v>
      </c>
      <c r="K2" s="220">
        <v>199</v>
      </c>
      <c r="L2" s="223">
        <v>199</v>
      </c>
      <c r="M2" s="235">
        <v>0.39999999999999997</v>
      </c>
      <c r="N2" s="235">
        <v>0.40625</v>
      </c>
      <c r="O2" s="211">
        <f>SUM(N2-M2)</f>
        <v>6.2500000000000333E-3</v>
      </c>
      <c r="P2" s="208">
        <v>199</v>
      </c>
      <c r="Q2" s="223">
        <v>199</v>
      </c>
      <c r="R2" s="235">
        <v>0.41319444444444442</v>
      </c>
      <c r="S2" s="235">
        <v>0.41944444444444445</v>
      </c>
      <c r="T2" s="211">
        <f>SUM(S2-R2)</f>
        <v>6.2500000000000333E-3</v>
      </c>
      <c r="U2" s="208">
        <v>199</v>
      </c>
      <c r="V2" s="223">
        <v>199</v>
      </c>
      <c r="W2" s="235">
        <v>0.42499999999999999</v>
      </c>
      <c r="X2" s="235">
        <v>0.4284722222222222</v>
      </c>
      <c r="Y2" s="211">
        <f>SUM(X2-W2)</f>
        <v>3.4722222222222099E-3</v>
      </c>
      <c r="Z2" s="224">
        <v>0</v>
      </c>
      <c r="AA2" s="223">
        <v>0</v>
      </c>
      <c r="AB2" s="235">
        <v>0.42986111111111108</v>
      </c>
      <c r="AC2" s="235">
        <v>0.43194444444444446</v>
      </c>
      <c r="AD2" s="211">
        <f>SUM(AC2-AB2)</f>
        <v>2.0833333333333814E-3</v>
      </c>
      <c r="AE2" s="224">
        <v>199</v>
      </c>
      <c r="AF2" s="223">
        <v>199</v>
      </c>
      <c r="AG2" s="235">
        <v>0.4375</v>
      </c>
      <c r="AH2" s="235">
        <v>0.4381944444444445</v>
      </c>
      <c r="AI2" s="211">
        <f>SUM(AH2-AG2)</f>
        <v>6.9444444444449749E-4</v>
      </c>
      <c r="AJ2" s="226">
        <f>SUM(E2+J2+O2+T2+Y2+AD2+AI2)</f>
        <v>2.8472222222222399E-2</v>
      </c>
      <c r="AK2" s="227">
        <f>SUM(G2+L2+Q2+V2+AA2+AF2)</f>
        <v>904</v>
      </c>
      <c r="AL2" s="228">
        <f>AK2/85400</f>
        <v>1.0585480093676816E-2</v>
      </c>
      <c r="AM2" s="228">
        <f>SUM(AJ2+AL2)</f>
        <v>3.9057702315899216E-2</v>
      </c>
      <c r="AN2" s="225">
        <v>1</v>
      </c>
    </row>
    <row r="3" spans="1:60" s="230" customFormat="1" ht="20.55" customHeight="1">
      <c r="A3" s="231"/>
      <c r="B3" s="221"/>
      <c r="C3" s="222"/>
      <c r="D3" s="222"/>
      <c r="E3" s="211"/>
      <c r="F3" s="220"/>
      <c r="G3" s="223"/>
      <c r="H3" s="222"/>
      <c r="I3" s="222"/>
      <c r="J3" s="211"/>
      <c r="K3" s="220"/>
      <c r="L3" s="223"/>
      <c r="M3" s="222"/>
      <c r="N3" s="222"/>
      <c r="O3" s="211"/>
      <c r="P3" s="208"/>
      <c r="Q3" s="223"/>
      <c r="R3" s="222"/>
      <c r="S3" s="222"/>
      <c r="T3" s="211"/>
      <c r="U3" s="208"/>
      <c r="V3" s="223"/>
      <c r="W3" s="222"/>
      <c r="X3" s="222"/>
      <c r="Y3" s="211"/>
      <c r="Z3" s="224"/>
      <c r="AA3" s="223"/>
      <c r="AB3" s="232"/>
      <c r="AC3" s="232"/>
      <c r="AD3" s="211"/>
      <c r="AE3" s="224"/>
      <c r="AF3" s="223"/>
      <c r="AG3" s="232"/>
      <c r="AH3" s="232"/>
      <c r="AI3" s="211"/>
      <c r="AJ3" s="226"/>
      <c r="AK3" s="227"/>
      <c r="AL3" s="228"/>
      <c r="AM3" s="228"/>
      <c r="AN3" s="225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</row>
    <row r="4" spans="1:60">
      <c r="E4"/>
      <c r="J4"/>
      <c r="O4"/>
      <c r="T4"/>
      <c r="Y4"/>
      <c r="AD4"/>
      <c r="AI4"/>
    </row>
    <row r="5" spans="1:60">
      <c r="E5"/>
      <c r="J5"/>
      <c r="O5"/>
      <c r="T5"/>
      <c r="Y5"/>
      <c r="AD5"/>
      <c r="AI5"/>
    </row>
    <row r="6" spans="1:60">
      <c r="E6"/>
      <c r="J6"/>
      <c r="O6"/>
      <c r="T6"/>
      <c r="Y6"/>
      <c r="AD6"/>
      <c r="AI6"/>
    </row>
    <row r="7" spans="1:60">
      <c r="E7"/>
      <c r="J7"/>
      <c r="O7"/>
      <c r="T7"/>
      <c r="Y7"/>
      <c r="AD7"/>
      <c r="AI7"/>
    </row>
    <row r="8" spans="1:60">
      <c r="E8"/>
      <c r="J8"/>
      <c r="O8"/>
      <c r="T8"/>
      <c r="Y8"/>
      <c r="AD8"/>
      <c r="AI8"/>
    </row>
    <row r="9" spans="1:60">
      <c r="E9"/>
      <c r="J9"/>
      <c r="O9"/>
      <c r="T9"/>
      <c r="Y9"/>
      <c r="AD9"/>
      <c r="AI9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</sheetData>
  <autoFilter ref="A1:AN1" xr:uid="{83CF93B3-C431-49F1-A590-E27AEBEF8623}">
    <sortState xmlns:xlrd2="http://schemas.microsoft.com/office/spreadsheetml/2017/richdata2" ref="A2:AN3">
      <sortCondition ref="AM1:AM3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7828-99F2-BC4B-9866-9AD807408EA6}">
  <dimension ref="A1:BH181"/>
  <sheetViews>
    <sheetView view="pageBreakPreview" zoomScale="70" zoomScaleNormal="100" zoomScaleSheetLayoutView="70" workbookViewId="0">
      <pane ySplit="1" topLeftCell="A2" activePane="bottomLeft" state="frozen"/>
      <selection activeCell="AD1" sqref="AD1"/>
      <selection pane="bottomLeft" activeCell="AN2" sqref="AN2"/>
    </sheetView>
  </sheetViews>
  <sheetFormatPr defaultColWidth="8.77734375" defaultRowHeight="14.4"/>
  <cols>
    <col min="1" max="1" width="29.109375" bestFit="1" customWidth="1"/>
    <col min="2" max="2" width="20.109375" style="2" bestFit="1" customWidth="1"/>
    <col min="3" max="3" width="16.109375" bestFit="1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1.4414062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1.44140625" bestFit="1" customWidth="1"/>
    <col min="19" max="19" width="14" bestFit="1" customWidth="1"/>
    <col min="20" max="20" width="11.44140625" style="26" customWidth="1"/>
    <col min="21" max="22" width="12.6640625" customWidth="1"/>
    <col min="23" max="23" width="11.4414062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1.4414062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4" customFormat="1">
      <c r="A2" s="231" t="s">
        <v>274</v>
      </c>
      <c r="B2" s="225" t="s">
        <v>275</v>
      </c>
      <c r="C2" s="235">
        <v>0.36249999999999999</v>
      </c>
      <c r="D2" s="235">
        <v>0.36736111111111108</v>
      </c>
      <c r="E2" s="211">
        <f>SUM(D2-C2)</f>
        <v>4.8611111111110938E-3</v>
      </c>
      <c r="F2" s="220">
        <v>101.2</v>
      </c>
      <c r="G2" s="223">
        <f>SUM(F2*0.6)</f>
        <v>60.72</v>
      </c>
      <c r="H2" s="235">
        <v>0.37083333333333335</v>
      </c>
      <c r="I2" s="235">
        <v>0.3756944444444445</v>
      </c>
      <c r="J2" s="211">
        <f>SUM(I2-H2)</f>
        <v>4.8611111111111494E-3</v>
      </c>
      <c r="K2" s="220">
        <v>51.04</v>
      </c>
      <c r="L2" s="223">
        <f>SUM(K2*0.6)</f>
        <v>30.623999999999999</v>
      </c>
      <c r="M2" s="235">
        <v>0.38125000000000003</v>
      </c>
      <c r="N2" s="235">
        <v>0.38541666666666669</v>
      </c>
      <c r="O2" s="211">
        <f>SUM(N2-M2)</f>
        <v>4.1666666666666519E-3</v>
      </c>
      <c r="P2" s="208">
        <v>78.88</v>
      </c>
      <c r="Q2" s="223">
        <f>SUM(P2*0.6)</f>
        <v>47.327999999999996</v>
      </c>
      <c r="R2" s="235">
        <v>0.39027777777777778</v>
      </c>
      <c r="S2" s="235">
        <v>0.39513888888888887</v>
      </c>
      <c r="T2" s="211">
        <f>SUM(S2-R2)</f>
        <v>4.8611111111110938E-3</v>
      </c>
      <c r="U2" s="208">
        <v>50.85</v>
      </c>
      <c r="V2" s="223">
        <f>SUM(U2*0.6)</f>
        <v>30.509999999999998</v>
      </c>
      <c r="W2" s="235">
        <v>0.39861111111111108</v>
      </c>
      <c r="X2" s="235">
        <v>0.39999999999999997</v>
      </c>
      <c r="Y2" s="211">
        <f>SUM(X2-W2)</f>
        <v>1.388888888888884E-3</v>
      </c>
      <c r="Z2" s="224">
        <v>0</v>
      </c>
      <c r="AA2" s="223">
        <v>0</v>
      </c>
      <c r="AB2" s="235">
        <v>0.40347222222222223</v>
      </c>
      <c r="AC2" s="235">
        <v>0.40486111111111112</v>
      </c>
      <c r="AD2" s="211">
        <f>SUM(AC2-AB2)</f>
        <v>1.388888888888884E-3</v>
      </c>
      <c r="AE2" s="224">
        <v>103.38</v>
      </c>
      <c r="AF2" s="223">
        <f>SUM(AE2*0.6)</f>
        <v>62.027999999999992</v>
      </c>
      <c r="AG2" s="235">
        <v>0.41111111111111115</v>
      </c>
      <c r="AH2" s="235">
        <v>0.41111111111111115</v>
      </c>
      <c r="AI2" s="211">
        <f>SUM(AH2-AG2)</f>
        <v>0</v>
      </c>
      <c r="AJ2" s="226">
        <f>SUM(E2+J2+O2+T2+Y2+AD2+AI2)</f>
        <v>2.1527777777777757E-2</v>
      </c>
      <c r="AK2" s="227">
        <f>SUM(G2+L2+Q2+V2+AA2+AF2)</f>
        <v>231.20999999999998</v>
      </c>
      <c r="AL2" s="228">
        <f>AK2/85400</f>
        <v>2.7073770491803277E-3</v>
      </c>
      <c r="AM2" s="228">
        <f>SUM(AJ2+AL2)</f>
        <v>2.4235154826958084E-2</v>
      </c>
      <c r="AN2" s="225">
        <v>1</v>
      </c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</row>
    <row r="3" spans="1:60">
      <c r="E3"/>
      <c r="J3"/>
      <c r="O3"/>
      <c r="T3"/>
      <c r="Y3"/>
      <c r="AD3"/>
      <c r="AI3"/>
    </row>
    <row r="4" spans="1:60">
      <c r="E4"/>
      <c r="J4"/>
      <c r="O4"/>
      <c r="T4"/>
      <c r="Y4"/>
      <c r="AD4"/>
      <c r="AI4"/>
    </row>
    <row r="5" spans="1:60">
      <c r="E5"/>
      <c r="J5"/>
      <c r="O5"/>
      <c r="T5"/>
      <c r="Y5"/>
      <c r="AD5"/>
      <c r="AI5"/>
    </row>
    <row r="6" spans="1:60">
      <c r="E6"/>
      <c r="J6"/>
      <c r="O6"/>
      <c r="T6"/>
      <c r="Y6"/>
      <c r="AD6"/>
      <c r="AI6"/>
    </row>
    <row r="7" spans="1:60">
      <c r="E7"/>
      <c r="J7"/>
      <c r="O7"/>
      <c r="T7"/>
      <c r="Y7"/>
      <c r="AD7"/>
      <c r="AI7"/>
    </row>
    <row r="8" spans="1:60">
      <c r="E8"/>
      <c r="J8"/>
      <c r="O8"/>
      <c r="T8"/>
      <c r="Y8"/>
      <c r="AD8"/>
      <c r="AI8"/>
    </row>
    <row r="9" spans="1:60">
      <c r="E9"/>
      <c r="J9"/>
      <c r="O9"/>
      <c r="T9"/>
      <c r="Y9"/>
      <c r="AD9"/>
      <c r="AI9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</sheetData>
  <autoFilter ref="A1:AN1" xr:uid="{83CF93B3-C431-49F1-A590-E27AEBEF8623}"/>
  <pageMargins left="0.25" right="0.25" top="0.75" bottom="0.75" header="0.3" footer="0.3"/>
  <pageSetup scale="21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LITE</vt:lpstr>
      <vt:lpstr>TACT</vt:lpstr>
      <vt:lpstr>TEST DAY</vt:lpstr>
      <vt:lpstr>Texas Independence</vt:lpstr>
      <vt:lpstr>Lonestar Heroes Event</vt:lpstr>
      <vt:lpstr>Light Solo</vt:lpstr>
      <vt:lpstr>Light Pair</vt:lpstr>
      <vt:lpstr>Tactical Solo</vt:lpstr>
      <vt:lpstr>Tactical Pair</vt:lpstr>
      <vt:lpstr>Fireteam Challenge</vt:lpstr>
      <vt:lpstr>Light Fighter</vt:lpstr>
      <vt:lpstr>Tactical</vt:lpstr>
      <vt:lpstr>GRUNT Real</vt:lpstr>
      <vt:lpstr>Grunt</vt:lpstr>
      <vt:lpstr>'Fireteam Challenge'!Print_Area</vt:lpstr>
      <vt:lpstr>'GRUNT Real'!Print_Area</vt:lpstr>
      <vt:lpstr>'Light Pair'!Print_Area</vt:lpstr>
      <vt:lpstr>'Light Solo'!Print_Area</vt:lpstr>
      <vt:lpstr>LITE!Print_Area</vt:lpstr>
      <vt:lpstr>'Lonestar Heroes Event'!Print_Area</vt:lpstr>
      <vt:lpstr>TACT!Print_Area</vt:lpstr>
      <vt:lpstr>'Tactical Pair'!Print_Area</vt:lpstr>
      <vt:lpstr>'Tactical Solo'!Print_Area</vt:lpstr>
      <vt:lpstr>'TEST DAY'!Print_Area</vt:lpstr>
      <vt:lpstr>'Texas Independence'!Print_Area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Zmonster TCA</dc:creator>
  <cp:keywords/>
  <dc:description/>
  <cp:lastModifiedBy>Sal Zuniga</cp:lastModifiedBy>
  <cp:revision/>
  <dcterms:created xsi:type="dcterms:W3CDTF">2022-07-13T19:20:05Z</dcterms:created>
  <dcterms:modified xsi:type="dcterms:W3CDTF">2025-09-07T01:45:19Z</dcterms:modified>
  <cp:category/>
  <cp:contentStatus/>
</cp:coreProperties>
</file>